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6024"/>
  <workbookPr showInkAnnotation="0" autoCompressPictures="0"/>
  <bookViews>
    <workbookView xWindow="0" yWindow="0" windowWidth="38400" windowHeight="19780" tabRatio="500" firstSheet="1" activeTab="1"/>
  </bookViews>
  <sheets>
    <sheet name="PF_POR FESR" sheetId="13" state="hidden" r:id="rId1"/>
    <sheet name="PF PO Cal" sheetId="1" r:id="rId2"/>
    <sheet name="PF_Azioni" sheetId="14" r:id="rId3"/>
    <sheet name="Tab. 17" sheetId="5" r:id="rId4"/>
    <sheet name="Tab. 18.a" sheetId="6" r:id="rId5"/>
    <sheet name="Tab. 18.c" sheetId="8" r:id="rId6"/>
  </sheets>
  <externalReferences>
    <externalReference r:id="rId7"/>
  </externalReferences>
  <definedNames>
    <definedName name="_ftn1" localSheetId="3">'Tab. 17'!$A$11</definedName>
    <definedName name="_ftn2" localSheetId="3">'Tab. 17'!$A$12</definedName>
    <definedName name="_ftn3" localSheetId="4">'Tab. 18.a'!$A$27</definedName>
    <definedName name="_ftn4" localSheetId="4">'Tab. 18.a'!$A$28</definedName>
    <definedName name="_ftn5" localSheetId="4">'Tab. 18.a'!$A$29</definedName>
    <definedName name="_ftn6" localSheetId="4">'Tab. 18.a'!$A$30</definedName>
    <definedName name="_ftn7" localSheetId="4">'Tab. 18.a'!$A$31</definedName>
    <definedName name="_ftn8" localSheetId="4">'Tab. 18.a'!$A$32</definedName>
    <definedName name="_ftnref1" localSheetId="3">'Tab. 17'!$D$4</definedName>
    <definedName name="_ftnref2" localSheetId="3">'Tab. 17'!$B$6</definedName>
    <definedName name="_ftnref3" localSheetId="4">'Tab. 18.a'!#REF!</definedName>
    <definedName name="_ftnref4" localSheetId="4">'Tab. 18.a'!$B$21</definedName>
    <definedName name="_ftnref5" localSheetId="4">'Tab. 18.a'!$E$21</definedName>
    <definedName name="_ftnref6" localSheetId="4">'Tab. 18.a'!#REF!</definedName>
    <definedName name="_ftnref7" localSheetId="4">'Tab. 18.a'!#REF!</definedName>
    <definedName name="_ftnref8" localSheetId="4">'Tab. 18.a'!#REF!</definedName>
    <definedName name="SETT_INTER">[1]Elenco!$D$3:$D$125</definedName>
    <definedName name="_xlnm.Print_Titles" localSheetId="1">'PF PO Cal'!$A:$A</definedName>
    <definedName name="_xlnm.Print_Titles" localSheetId="2">PF_Azioni!$1:$5</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B9" i="1" l="1"/>
  <c r="B10" i="1"/>
  <c r="B11" i="1"/>
  <c r="B12" i="1"/>
  <c r="B13" i="1"/>
  <c r="B8" i="1"/>
  <c r="B15" i="1"/>
  <c r="B16" i="1"/>
  <c r="B17" i="1"/>
  <c r="B14" i="1"/>
  <c r="B19" i="1"/>
  <c r="B20" i="1"/>
  <c r="B21" i="1"/>
  <c r="B22" i="1"/>
  <c r="B23" i="1"/>
  <c r="B24" i="1"/>
  <c r="B25" i="1"/>
  <c r="B26" i="1"/>
  <c r="B18" i="1"/>
  <c r="B28" i="1"/>
  <c r="B29" i="1"/>
  <c r="B30" i="1"/>
  <c r="B31" i="1"/>
  <c r="B32" i="1"/>
  <c r="B33" i="1"/>
  <c r="B27" i="1"/>
  <c r="B92" i="1"/>
  <c r="B93" i="1"/>
  <c r="C66" i="1"/>
  <c r="C65" i="1"/>
  <c r="F13" i="1"/>
  <c r="R13" i="1"/>
  <c r="B64" i="1"/>
  <c r="F64" i="1"/>
  <c r="B65" i="1"/>
  <c r="F65" i="1"/>
  <c r="B66" i="1"/>
  <c r="F66" i="1"/>
  <c r="B67" i="1"/>
  <c r="F67" i="1"/>
  <c r="B62" i="1"/>
  <c r="F62" i="1"/>
  <c r="B63" i="1"/>
  <c r="F63" i="1"/>
  <c r="B68" i="1"/>
  <c r="F68" i="1"/>
  <c r="F61" i="1"/>
  <c r="B82" i="1"/>
  <c r="F82" i="1"/>
  <c r="B76" i="1"/>
  <c r="B77" i="1"/>
  <c r="B78" i="1"/>
  <c r="B79" i="1"/>
  <c r="B80" i="1"/>
  <c r="B75" i="1"/>
  <c r="F75" i="1"/>
  <c r="B70" i="1"/>
  <c r="B71" i="1"/>
  <c r="B72" i="1"/>
  <c r="B73" i="1"/>
  <c r="B74" i="1"/>
  <c r="B69" i="1"/>
  <c r="F69" i="1"/>
  <c r="B48" i="1"/>
  <c r="B49" i="1"/>
  <c r="B50" i="1"/>
  <c r="B51" i="1"/>
  <c r="B47" i="1"/>
  <c r="F47" i="1"/>
  <c r="B39" i="1"/>
  <c r="B40" i="1"/>
  <c r="B41" i="1"/>
  <c r="B42" i="1"/>
  <c r="B43" i="1"/>
  <c r="B44" i="1"/>
  <c r="B45" i="1"/>
  <c r="B46" i="1"/>
  <c r="B38" i="1"/>
  <c r="F38" i="1"/>
  <c r="B35" i="1"/>
  <c r="B36" i="1"/>
  <c r="B37" i="1"/>
  <c r="B34" i="1"/>
  <c r="F34" i="1"/>
  <c r="F27" i="1"/>
  <c r="F18" i="1"/>
  <c r="F14" i="1"/>
  <c r="F8" i="1"/>
  <c r="F83" i="1"/>
  <c r="R83" i="1"/>
  <c r="S13" i="1"/>
  <c r="D13" i="1"/>
  <c r="P13" i="1"/>
  <c r="D83" i="1"/>
  <c r="P83" i="1"/>
  <c r="Q13" i="1"/>
  <c r="F70" i="1"/>
  <c r="F71" i="1"/>
  <c r="H73" i="1"/>
  <c r="H74" i="1"/>
  <c r="H69" i="1"/>
  <c r="L69" i="1"/>
  <c r="L70" i="1"/>
  <c r="L71" i="1"/>
  <c r="K58" i="13"/>
  <c r="M68" i="13"/>
  <c r="M69" i="13"/>
  <c r="M67" i="13"/>
  <c r="L66" i="13"/>
  <c r="F19" i="5"/>
  <c r="R19" i="5"/>
  <c r="G19" i="5"/>
  <c r="E17" i="6"/>
  <c r="R17" i="6"/>
  <c r="N17" i="6"/>
  <c r="L17" i="6"/>
  <c r="L21" i="6"/>
  <c r="F6" i="5"/>
  <c r="E19" i="5"/>
  <c r="D6" i="5"/>
  <c r="I19" i="5"/>
  <c r="H6" i="5"/>
  <c r="K19" i="5"/>
  <c r="J6" i="5"/>
  <c r="M19" i="5"/>
  <c r="L6" i="5"/>
  <c r="O19" i="5"/>
  <c r="N6" i="5"/>
  <c r="Q19" i="5"/>
  <c r="P6" i="5"/>
  <c r="R6" i="5"/>
  <c r="N21" i="6"/>
  <c r="E6" i="5"/>
  <c r="G6" i="5"/>
  <c r="I6" i="5"/>
  <c r="K6" i="5"/>
  <c r="M6" i="5"/>
  <c r="O6" i="5"/>
  <c r="Q6" i="5"/>
  <c r="S6" i="5"/>
  <c r="U6" i="5"/>
  <c r="I68" i="1"/>
  <c r="I65" i="1"/>
  <c r="I64" i="1"/>
  <c r="I63" i="1"/>
  <c r="I62" i="1"/>
  <c r="H68" i="1"/>
  <c r="I5" i="13"/>
  <c r="I11" i="13"/>
  <c r="I15" i="13"/>
  <c r="I24" i="13"/>
  <c r="I31" i="13"/>
  <c r="I35" i="13"/>
  <c r="I44" i="13"/>
  <c r="I82" i="13"/>
  <c r="J51" i="13"/>
  <c r="G74" i="13"/>
  <c r="G77" i="13"/>
  <c r="G72" i="13"/>
  <c r="G70" i="13"/>
  <c r="G71" i="13"/>
  <c r="G66" i="13"/>
  <c r="G65" i="13"/>
  <c r="G50" i="13"/>
  <c r="G44" i="13"/>
  <c r="G35" i="13"/>
  <c r="G31" i="13"/>
  <c r="G24" i="13"/>
  <c r="G15" i="13"/>
  <c r="G11" i="13"/>
  <c r="G5" i="13"/>
  <c r="I51" i="13"/>
  <c r="I52" i="13"/>
  <c r="I53" i="13"/>
  <c r="I54" i="13"/>
  <c r="I55" i="13"/>
  <c r="I56" i="13"/>
  <c r="I57" i="13"/>
  <c r="I59" i="13"/>
  <c r="I60" i="13"/>
  <c r="I61" i="13"/>
  <c r="I62" i="13"/>
  <c r="I63" i="13"/>
  <c r="I65" i="13"/>
  <c r="I66" i="13"/>
  <c r="I67" i="13"/>
  <c r="I68" i="13"/>
  <c r="I69" i="13"/>
  <c r="I70" i="13"/>
  <c r="I71" i="13"/>
  <c r="I72" i="13"/>
  <c r="I73" i="13"/>
  <c r="I74" i="13"/>
  <c r="I75" i="13"/>
  <c r="I76" i="13"/>
  <c r="I77" i="13"/>
  <c r="I79" i="13"/>
  <c r="I50" i="13"/>
  <c r="B10" i="13"/>
  <c r="D10" i="13"/>
  <c r="F10" i="13"/>
  <c r="B6" i="13"/>
  <c r="D6" i="13"/>
  <c r="F6" i="13"/>
  <c r="B7" i="13"/>
  <c r="D7" i="13"/>
  <c r="F7" i="13"/>
  <c r="B8" i="13"/>
  <c r="D8" i="13"/>
  <c r="F8" i="13"/>
  <c r="B9" i="13"/>
  <c r="D9" i="13"/>
  <c r="F9" i="13"/>
  <c r="B12" i="13"/>
  <c r="D12" i="13"/>
  <c r="F12" i="13"/>
  <c r="B14" i="13"/>
  <c r="D14" i="13"/>
  <c r="F14" i="13"/>
  <c r="B13" i="13"/>
  <c r="D13" i="13"/>
  <c r="F13" i="13"/>
  <c r="B20" i="13"/>
  <c r="D20" i="13"/>
  <c r="F20" i="13"/>
  <c r="B18" i="13"/>
  <c r="D18" i="13"/>
  <c r="F18" i="13"/>
  <c r="B19" i="13"/>
  <c r="D19" i="13"/>
  <c r="F19" i="13"/>
  <c r="C16" i="13"/>
  <c r="B16" i="13"/>
  <c r="D16" i="13"/>
  <c r="F16" i="13"/>
  <c r="B22" i="13"/>
  <c r="D22" i="13"/>
  <c r="F22" i="13"/>
  <c r="C21" i="13"/>
  <c r="B21" i="13"/>
  <c r="D21" i="13"/>
  <c r="F21" i="13"/>
  <c r="C25" i="13"/>
  <c r="B25" i="13"/>
  <c r="D25" i="13"/>
  <c r="F25" i="13"/>
  <c r="C30" i="13"/>
  <c r="B30" i="13"/>
  <c r="D30" i="13"/>
  <c r="F30" i="13"/>
  <c r="B32" i="13"/>
  <c r="D32" i="13"/>
  <c r="F32" i="13"/>
  <c r="B34" i="13"/>
  <c r="D34" i="13"/>
  <c r="F34" i="13"/>
  <c r="B36" i="13"/>
  <c r="D36" i="13"/>
  <c r="F36" i="13"/>
  <c r="C38" i="13"/>
  <c r="B38" i="13"/>
  <c r="D38" i="13"/>
  <c r="F38" i="13"/>
  <c r="C39" i="13"/>
  <c r="B39" i="13"/>
  <c r="D39" i="13"/>
  <c r="F39" i="13"/>
  <c r="B41" i="13"/>
  <c r="D41" i="13"/>
  <c r="F41" i="13"/>
  <c r="B42" i="13"/>
  <c r="D42" i="13"/>
  <c r="F42" i="13"/>
  <c r="C43" i="13"/>
  <c r="B43" i="13"/>
  <c r="D43" i="13"/>
  <c r="F43" i="13"/>
  <c r="B40" i="13"/>
  <c r="D40" i="13"/>
  <c r="F40" i="13"/>
  <c r="C47" i="13"/>
  <c r="B47" i="13"/>
  <c r="D47" i="13"/>
  <c r="F47" i="13"/>
  <c r="B48" i="13"/>
  <c r="D48" i="13"/>
  <c r="F48" i="13"/>
  <c r="C46" i="13"/>
  <c r="B46" i="13"/>
  <c r="D46" i="13"/>
  <c r="F46" i="13"/>
  <c r="B61" i="13"/>
  <c r="D61" i="13"/>
  <c r="F61" i="13"/>
  <c r="C62" i="13"/>
  <c r="B62" i="13"/>
  <c r="D62" i="13"/>
  <c r="F62" i="13"/>
  <c r="C63" i="13"/>
  <c r="B63" i="13"/>
  <c r="D63" i="13"/>
  <c r="F63" i="13"/>
  <c r="B64" i="13"/>
  <c r="D64" i="13"/>
  <c r="F64" i="13"/>
  <c r="C68" i="13"/>
  <c r="B68" i="13"/>
  <c r="D68" i="13"/>
  <c r="F68" i="13"/>
  <c r="C70" i="13"/>
  <c r="B70" i="13"/>
  <c r="D70" i="13"/>
  <c r="F70" i="13"/>
  <c r="C71" i="13"/>
  <c r="B71" i="13"/>
  <c r="D71" i="13"/>
  <c r="F71" i="13"/>
  <c r="C79" i="13"/>
  <c r="B79" i="13"/>
  <c r="D79" i="13"/>
  <c r="F79" i="13"/>
  <c r="J57" i="13"/>
  <c r="J56" i="13"/>
  <c r="J55" i="13"/>
  <c r="J54" i="13"/>
  <c r="J53" i="13"/>
  <c r="J52" i="13"/>
  <c r="J50" i="13"/>
  <c r="H77" i="1"/>
  <c r="H75" i="1"/>
  <c r="H53" i="1"/>
  <c r="M55" i="13"/>
  <c r="I117" i="14"/>
  <c r="I114" i="14"/>
  <c r="I111" i="14"/>
  <c r="I107" i="14"/>
  <c r="I104" i="14"/>
  <c r="I103" i="14"/>
  <c r="I100" i="14"/>
  <c r="I97" i="14"/>
  <c r="I94" i="14"/>
  <c r="I91" i="14"/>
  <c r="I88" i="14"/>
  <c r="I86" i="14"/>
  <c r="I83" i="14"/>
  <c r="I79" i="14"/>
  <c r="I76" i="14"/>
  <c r="I71" i="14"/>
  <c r="I69" i="14"/>
  <c r="I68" i="14"/>
  <c r="I67" i="14"/>
  <c r="I65" i="14"/>
  <c r="I63" i="14"/>
  <c r="I61" i="14"/>
  <c r="I58" i="14"/>
  <c r="I57" i="14"/>
  <c r="I56" i="14"/>
  <c r="I55" i="14"/>
  <c r="I54" i="14"/>
  <c r="I53" i="14"/>
  <c r="I51" i="14"/>
  <c r="I50" i="14"/>
  <c r="I49" i="14"/>
  <c r="I47" i="14"/>
  <c r="I44" i="14"/>
  <c r="I43" i="14"/>
  <c r="I41" i="14"/>
  <c r="I39" i="14"/>
  <c r="I36" i="14"/>
  <c r="I6" i="14"/>
  <c r="I34" i="14"/>
  <c r="I31" i="14"/>
  <c r="I28" i="14"/>
  <c r="I26" i="14"/>
  <c r="I22" i="14"/>
  <c r="I20" i="14"/>
  <c r="I18" i="14"/>
  <c r="I17" i="14"/>
  <c r="I16" i="14"/>
  <c r="I15" i="14"/>
  <c r="I12" i="14"/>
  <c r="I10" i="14"/>
  <c r="I7" i="14"/>
  <c r="N76" i="14"/>
  <c r="N77" i="14"/>
  <c r="N78" i="14"/>
  <c r="N79" i="14"/>
  <c r="N80" i="14"/>
  <c r="N81" i="14"/>
  <c r="N82" i="14"/>
  <c r="N83" i="14"/>
  <c r="N84" i="14"/>
  <c r="N85" i="14"/>
  <c r="N86" i="14"/>
  <c r="N87" i="14"/>
  <c r="N88" i="14"/>
  <c r="N89" i="14"/>
  <c r="N90" i="14"/>
  <c r="N91" i="14"/>
  <c r="N92" i="14"/>
  <c r="N93" i="14"/>
  <c r="N94" i="14"/>
  <c r="N95" i="14"/>
  <c r="N96" i="14"/>
  <c r="N97" i="14"/>
  <c r="N98" i="14"/>
  <c r="N99" i="14"/>
  <c r="N100" i="14"/>
  <c r="N101" i="14"/>
  <c r="N102" i="14"/>
  <c r="N103" i="14"/>
  <c r="N104" i="14"/>
  <c r="N105" i="14"/>
  <c r="N106" i="14"/>
  <c r="N107" i="14"/>
  <c r="N108" i="14"/>
  <c r="N109" i="14"/>
  <c r="N110" i="14"/>
  <c r="N111" i="14"/>
  <c r="N112" i="14"/>
  <c r="N113" i="14"/>
  <c r="N114" i="14"/>
  <c r="N115" i="14"/>
  <c r="N116" i="14"/>
  <c r="N117" i="14"/>
  <c r="N118" i="14"/>
  <c r="N119" i="14"/>
  <c r="N120" i="14"/>
  <c r="N121" i="14"/>
  <c r="N122" i="14"/>
  <c r="N6" i="14"/>
  <c r="N7" i="14"/>
  <c r="N8" i="14"/>
  <c r="N9" i="14"/>
  <c r="N10" i="14"/>
  <c r="N11" i="14"/>
  <c r="N12" i="14"/>
  <c r="N13" i="14"/>
  <c r="N14" i="14"/>
  <c r="N15" i="14"/>
  <c r="N16" i="14"/>
  <c r="N17" i="14"/>
  <c r="N18" i="14"/>
  <c r="N19" i="14"/>
  <c r="N20" i="14"/>
  <c r="N21" i="14"/>
  <c r="M22" i="14"/>
  <c r="N22" i="14"/>
  <c r="N23" i="14"/>
  <c r="N24" i="14"/>
  <c r="N25" i="14"/>
  <c r="N26" i="14"/>
  <c r="N27" i="14"/>
  <c r="N28" i="14"/>
  <c r="N29" i="14"/>
  <c r="N30" i="14"/>
  <c r="N31" i="14"/>
  <c r="N32" i="14"/>
  <c r="N33" i="14"/>
  <c r="N34" i="14"/>
  <c r="N35" i="14"/>
  <c r="N36" i="14"/>
  <c r="N37" i="14"/>
  <c r="N38" i="14"/>
  <c r="N39" i="14"/>
  <c r="N40" i="14"/>
  <c r="N41" i="14"/>
  <c r="N42" i="14"/>
  <c r="N43" i="14"/>
  <c r="N44" i="14"/>
  <c r="N45" i="14"/>
  <c r="N46" i="14"/>
  <c r="N47" i="14"/>
  <c r="N48" i="14"/>
  <c r="N49" i="14"/>
  <c r="N50" i="14"/>
  <c r="N51" i="14"/>
  <c r="N52" i="14"/>
  <c r="N53" i="14"/>
  <c r="N54" i="14"/>
  <c r="N55" i="14"/>
  <c r="N56" i="14"/>
  <c r="N57" i="14"/>
  <c r="N58" i="14"/>
  <c r="N59" i="14"/>
  <c r="N60" i="14"/>
  <c r="N61" i="14"/>
  <c r="N62" i="14"/>
  <c r="N63" i="14"/>
  <c r="N64" i="14"/>
  <c r="N65" i="14"/>
  <c r="N66" i="14"/>
  <c r="N67" i="14"/>
  <c r="N68" i="14"/>
  <c r="N69" i="14"/>
  <c r="N70" i="14"/>
  <c r="N71" i="14"/>
  <c r="N72" i="14"/>
  <c r="N73" i="14"/>
  <c r="N74" i="14"/>
  <c r="N75" i="14"/>
  <c r="N123" i="14"/>
  <c r="I122" i="14"/>
  <c r="I75" i="14"/>
  <c r="I123" i="14"/>
  <c r="F76" i="14"/>
  <c r="F79" i="14"/>
  <c r="F83" i="14"/>
  <c r="F86" i="14"/>
  <c r="F88" i="14"/>
  <c r="F91" i="14"/>
  <c r="F100" i="14"/>
  <c r="F104" i="14"/>
  <c r="F107" i="14"/>
  <c r="F111" i="14"/>
  <c r="F114" i="14"/>
  <c r="F122" i="14"/>
  <c r="F6" i="14"/>
  <c r="F7" i="14"/>
  <c r="F16" i="14"/>
  <c r="F17" i="14"/>
  <c r="F18" i="14"/>
  <c r="F20" i="14"/>
  <c r="F22" i="14"/>
  <c r="F28" i="14"/>
  <c r="F34" i="14"/>
  <c r="F36" i="14"/>
  <c r="F39" i="14"/>
  <c r="F41" i="14"/>
  <c r="F44" i="14"/>
  <c r="F47" i="14"/>
  <c r="F50" i="14"/>
  <c r="F54" i="14"/>
  <c r="F55" i="14"/>
  <c r="F57" i="14"/>
  <c r="F58" i="14"/>
  <c r="F61" i="14"/>
  <c r="F67" i="14"/>
  <c r="F71" i="14"/>
  <c r="F75" i="14"/>
  <c r="F123" i="14"/>
  <c r="B76" i="14"/>
  <c r="B91" i="14"/>
  <c r="B104" i="14"/>
  <c r="B114" i="14"/>
  <c r="B122" i="14"/>
  <c r="B6" i="14"/>
  <c r="B16" i="14"/>
  <c r="B20" i="14"/>
  <c r="B36" i="14"/>
  <c r="B41" i="14"/>
  <c r="B44" i="14"/>
  <c r="B55" i="14"/>
  <c r="B58" i="14"/>
  <c r="B67" i="14"/>
  <c r="B71" i="14"/>
  <c r="B75" i="14"/>
  <c r="B123" i="14"/>
  <c r="D122" i="14"/>
  <c r="D75" i="14"/>
  <c r="D123" i="14"/>
  <c r="O76" i="14"/>
  <c r="O77" i="14"/>
  <c r="O78" i="14"/>
  <c r="O79" i="14"/>
  <c r="O80" i="14"/>
  <c r="O81" i="14"/>
  <c r="O82" i="14"/>
  <c r="O83" i="14"/>
  <c r="O84" i="14"/>
  <c r="O85" i="14"/>
  <c r="O86" i="14"/>
  <c r="O87" i="14"/>
  <c r="O88" i="14"/>
  <c r="O89" i="14"/>
  <c r="O90" i="14"/>
  <c r="O91" i="14"/>
  <c r="O92" i="14"/>
  <c r="O93" i="14"/>
  <c r="O94" i="14"/>
  <c r="O95" i="14"/>
  <c r="O96" i="14"/>
  <c r="O97" i="14"/>
  <c r="O98" i="14"/>
  <c r="O99" i="14"/>
  <c r="O100" i="14"/>
  <c r="O101" i="14"/>
  <c r="O102" i="14"/>
  <c r="O103" i="14"/>
  <c r="O104" i="14"/>
  <c r="O105" i="14"/>
  <c r="O106" i="14"/>
  <c r="O107" i="14"/>
  <c r="O108" i="14"/>
  <c r="O109" i="14"/>
  <c r="O110" i="14"/>
  <c r="O111" i="14"/>
  <c r="O112" i="14"/>
  <c r="O113" i="14"/>
  <c r="O114" i="14"/>
  <c r="O115" i="14"/>
  <c r="O116" i="14"/>
  <c r="O117" i="14"/>
  <c r="O118" i="14"/>
  <c r="O119" i="14"/>
  <c r="O120" i="14"/>
  <c r="O121" i="14"/>
  <c r="O122" i="14"/>
  <c r="M122" i="14"/>
  <c r="J76" i="14"/>
  <c r="J79" i="14"/>
  <c r="J83" i="14"/>
  <c r="J86" i="14"/>
  <c r="J88" i="14"/>
  <c r="J91" i="14"/>
  <c r="J94" i="14"/>
  <c r="J97" i="14"/>
  <c r="J100" i="14"/>
  <c r="J103" i="14"/>
  <c r="J104" i="14"/>
  <c r="J107" i="14"/>
  <c r="J111" i="14"/>
  <c r="J114" i="14"/>
  <c r="J117" i="14"/>
  <c r="J122" i="14"/>
  <c r="G76" i="14"/>
  <c r="G79" i="14"/>
  <c r="G83" i="14"/>
  <c r="G86" i="14"/>
  <c r="G88" i="14"/>
  <c r="G91" i="14"/>
  <c r="G100" i="14"/>
  <c r="G104" i="14"/>
  <c r="G107" i="14"/>
  <c r="G111" i="14"/>
  <c r="G114" i="14"/>
  <c r="G122" i="14"/>
  <c r="C76" i="14"/>
  <c r="C91" i="14"/>
  <c r="C104" i="14"/>
  <c r="C114" i="14"/>
  <c r="C122" i="14"/>
  <c r="L117" i="14"/>
  <c r="L114" i="14"/>
  <c r="D114" i="14"/>
  <c r="L111" i="14"/>
  <c r="L107" i="14"/>
  <c r="L104" i="14"/>
  <c r="D104" i="14"/>
  <c r="L103" i="14"/>
  <c r="L100" i="14"/>
  <c r="L97" i="14"/>
  <c r="L94" i="14"/>
  <c r="L91" i="14"/>
  <c r="D91" i="14"/>
  <c r="L88" i="14"/>
  <c r="L86" i="14"/>
  <c r="L83" i="14"/>
  <c r="L79" i="14"/>
  <c r="L76" i="14"/>
  <c r="D76" i="14"/>
  <c r="O75" i="14"/>
  <c r="J75" i="14"/>
  <c r="G75" i="14"/>
  <c r="C75" i="14"/>
  <c r="O74" i="14"/>
  <c r="O73" i="14"/>
  <c r="O72" i="14"/>
  <c r="D72" i="14"/>
  <c r="O71" i="14"/>
  <c r="L71" i="14"/>
  <c r="J71" i="14"/>
  <c r="G71" i="14"/>
  <c r="D71" i="14"/>
  <c r="C71" i="14"/>
  <c r="O70" i="14"/>
  <c r="G70" i="14"/>
  <c r="O69" i="14"/>
  <c r="L69" i="14"/>
  <c r="J69" i="14"/>
  <c r="G69" i="14"/>
  <c r="O68" i="14"/>
  <c r="L68" i="14"/>
  <c r="J68" i="14"/>
  <c r="O67" i="14"/>
  <c r="L67" i="14"/>
  <c r="J67" i="14"/>
  <c r="G67" i="14"/>
  <c r="D67" i="14"/>
  <c r="C67" i="14"/>
  <c r="O66" i="14"/>
  <c r="J66" i="14"/>
  <c r="G66" i="14"/>
  <c r="O65" i="14"/>
  <c r="L65" i="14"/>
  <c r="J65" i="14"/>
  <c r="O64" i="14"/>
  <c r="J64" i="14"/>
  <c r="G64" i="14"/>
  <c r="O63" i="14"/>
  <c r="L63" i="14"/>
  <c r="J63" i="14"/>
  <c r="G63" i="14"/>
  <c r="O62" i="14"/>
  <c r="J62" i="14"/>
  <c r="G62" i="14"/>
  <c r="O61" i="14"/>
  <c r="L61" i="14"/>
  <c r="J61" i="14"/>
  <c r="G61" i="14"/>
  <c r="O60" i="14"/>
  <c r="J60" i="14"/>
  <c r="G60" i="14"/>
  <c r="O59" i="14"/>
  <c r="J59" i="14"/>
  <c r="G59" i="14"/>
  <c r="O58" i="14"/>
  <c r="L58" i="14"/>
  <c r="J58" i="14"/>
  <c r="G58" i="14"/>
  <c r="D58" i="14"/>
  <c r="C58" i="14"/>
  <c r="O57" i="14"/>
  <c r="L57" i="14"/>
  <c r="J57" i="14"/>
  <c r="G57" i="14"/>
  <c r="O56" i="14"/>
  <c r="L56" i="14"/>
  <c r="J56" i="14"/>
  <c r="G56" i="14"/>
  <c r="O55" i="14"/>
  <c r="L55" i="14"/>
  <c r="J55" i="14"/>
  <c r="G55" i="14"/>
  <c r="D55" i="14"/>
  <c r="C55" i="14"/>
  <c r="O54" i="14"/>
  <c r="L54" i="14"/>
  <c r="J54" i="14"/>
  <c r="G54" i="14"/>
  <c r="O53" i="14"/>
  <c r="L53" i="14"/>
  <c r="J53" i="14"/>
  <c r="G53" i="14"/>
  <c r="O52" i="14"/>
  <c r="J52" i="14"/>
  <c r="G52" i="14"/>
  <c r="O51" i="14"/>
  <c r="L51" i="14"/>
  <c r="J51" i="14"/>
  <c r="G51" i="14"/>
  <c r="O50" i="14"/>
  <c r="L50" i="14"/>
  <c r="J50" i="14"/>
  <c r="G50" i="14"/>
  <c r="O49" i="14"/>
  <c r="L49" i="14"/>
  <c r="J49" i="14"/>
  <c r="G49" i="14"/>
  <c r="O48" i="14"/>
  <c r="J48" i="14"/>
  <c r="G48" i="14"/>
  <c r="O47" i="14"/>
  <c r="L47" i="14"/>
  <c r="J47" i="14"/>
  <c r="G47" i="14"/>
  <c r="O46" i="14"/>
  <c r="J46" i="14"/>
  <c r="G46" i="14"/>
  <c r="O45" i="14"/>
  <c r="J45" i="14"/>
  <c r="G45" i="14"/>
  <c r="O44" i="14"/>
  <c r="L44" i="14"/>
  <c r="J44" i="14"/>
  <c r="G44" i="14"/>
  <c r="D44" i="14"/>
  <c r="C44" i="14"/>
  <c r="O43" i="14"/>
  <c r="L43" i="14"/>
  <c r="J43" i="14"/>
  <c r="G43" i="14"/>
  <c r="O42" i="14"/>
  <c r="J42" i="14"/>
  <c r="G42" i="14"/>
  <c r="O41" i="14"/>
  <c r="L41" i="14"/>
  <c r="J41" i="14"/>
  <c r="G41" i="14"/>
  <c r="D41" i="14"/>
  <c r="C41" i="14"/>
  <c r="O40" i="14"/>
  <c r="J40" i="14"/>
  <c r="G40" i="14"/>
  <c r="O39" i="14"/>
  <c r="L39" i="14"/>
  <c r="J39" i="14"/>
  <c r="G39" i="14"/>
  <c r="O38" i="14"/>
  <c r="J38" i="14"/>
  <c r="G38" i="14"/>
  <c r="O37" i="14"/>
  <c r="J37" i="14"/>
  <c r="G37" i="14"/>
  <c r="O36" i="14"/>
  <c r="L36" i="14"/>
  <c r="J36" i="14"/>
  <c r="G36" i="14"/>
  <c r="D36" i="14"/>
  <c r="C36" i="14"/>
  <c r="O35" i="14"/>
  <c r="J35" i="14"/>
  <c r="G35" i="14"/>
  <c r="O34" i="14"/>
  <c r="L34" i="14"/>
  <c r="J34" i="14"/>
  <c r="G34" i="14"/>
  <c r="O33" i="14"/>
  <c r="J33" i="14"/>
  <c r="G33" i="14"/>
  <c r="O32" i="14"/>
  <c r="J32" i="14"/>
  <c r="G32" i="14"/>
  <c r="O31" i="14"/>
  <c r="L31" i="14"/>
  <c r="J31" i="14"/>
  <c r="G31" i="14"/>
  <c r="O30" i="14"/>
  <c r="J30" i="14"/>
  <c r="G30" i="14"/>
  <c r="O29" i="14"/>
  <c r="J29" i="14"/>
  <c r="G29" i="14"/>
  <c r="O28" i="14"/>
  <c r="L28" i="14"/>
  <c r="J28" i="14"/>
  <c r="G28" i="14"/>
  <c r="O27" i="14"/>
  <c r="J27" i="14"/>
  <c r="G27" i="14"/>
  <c r="O26" i="14"/>
  <c r="L26" i="14"/>
  <c r="J26" i="14"/>
  <c r="G26" i="14"/>
  <c r="O25" i="14"/>
  <c r="G25" i="14"/>
  <c r="O24" i="14"/>
  <c r="G24" i="14"/>
  <c r="O23" i="14"/>
  <c r="G23" i="14"/>
  <c r="O22" i="14"/>
  <c r="L22" i="14"/>
  <c r="J22" i="14"/>
  <c r="G22" i="14"/>
  <c r="O21" i="14"/>
  <c r="G21" i="14"/>
  <c r="O20" i="14"/>
  <c r="L20" i="14"/>
  <c r="J20" i="14"/>
  <c r="G20" i="14"/>
  <c r="D20" i="14"/>
  <c r="C20" i="14"/>
  <c r="O19" i="14"/>
  <c r="G19" i="14"/>
  <c r="O18" i="14"/>
  <c r="L18" i="14"/>
  <c r="J18" i="14"/>
  <c r="G18" i="14"/>
  <c r="O17" i="14"/>
  <c r="L17" i="14"/>
  <c r="J17" i="14"/>
  <c r="G17" i="14"/>
  <c r="O16" i="14"/>
  <c r="L16" i="14"/>
  <c r="J16" i="14"/>
  <c r="G16" i="14"/>
  <c r="D16" i="14"/>
  <c r="C16" i="14"/>
  <c r="O15" i="14"/>
  <c r="L15" i="14"/>
  <c r="J15" i="14"/>
  <c r="O14" i="14"/>
  <c r="O13" i="14"/>
  <c r="O12" i="14"/>
  <c r="L12" i="14"/>
  <c r="J12" i="14"/>
  <c r="O11" i="14"/>
  <c r="O10" i="14"/>
  <c r="L10" i="14"/>
  <c r="J10" i="14"/>
  <c r="O9" i="14"/>
  <c r="O8" i="14"/>
  <c r="O7" i="14"/>
  <c r="L7" i="14"/>
  <c r="J7" i="14"/>
  <c r="G7" i="14"/>
  <c r="O6" i="14"/>
  <c r="L6" i="14"/>
  <c r="J6" i="14"/>
  <c r="G6" i="14"/>
  <c r="D6" i="14"/>
  <c r="C6" i="14"/>
  <c r="E18" i="6"/>
  <c r="R18" i="6"/>
  <c r="N18" i="6"/>
  <c r="E13" i="6"/>
  <c r="R13" i="6"/>
  <c r="N13" i="6"/>
  <c r="H65" i="13"/>
  <c r="H57" i="13"/>
  <c r="H56" i="13"/>
  <c r="H55" i="13"/>
  <c r="H54" i="13"/>
  <c r="H53" i="13"/>
  <c r="H52" i="13"/>
  <c r="H51" i="13"/>
  <c r="L54" i="1"/>
  <c r="N75" i="1"/>
  <c r="N69" i="1"/>
  <c r="N62" i="1"/>
  <c r="N63" i="1"/>
  <c r="N64" i="1"/>
  <c r="N65" i="1"/>
  <c r="N66" i="1"/>
  <c r="N68" i="1"/>
  <c r="N47" i="1"/>
  <c r="N38" i="1"/>
  <c r="N34" i="1"/>
  <c r="N27" i="1"/>
  <c r="N18" i="1"/>
  <c r="N14" i="1"/>
  <c r="N8" i="1"/>
  <c r="N53" i="1"/>
  <c r="B61" i="1"/>
  <c r="B83" i="1"/>
  <c r="N83" i="1"/>
  <c r="J69" i="1"/>
  <c r="L53" i="1"/>
  <c r="J53" i="1"/>
  <c r="L75" i="1"/>
  <c r="J75" i="1"/>
  <c r="L62" i="1"/>
  <c r="J62" i="1"/>
  <c r="L63" i="1"/>
  <c r="J63" i="1"/>
  <c r="L64" i="1"/>
  <c r="J64" i="1"/>
  <c r="L65" i="1"/>
  <c r="J65" i="1"/>
  <c r="L66" i="1"/>
  <c r="J66" i="1"/>
  <c r="L68" i="1"/>
  <c r="J68" i="1"/>
  <c r="R75" i="1"/>
  <c r="R69" i="1"/>
  <c r="R62" i="1"/>
  <c r="R63" i="1"/>
  <c r="R64" i="1"/>
  <c r="R65" i="1"/>
  <c r="R66" i="1"/>
  <c r="R68" i="1"/>
  <c r="R47" i="1"/>
  <c r="R38" i="1"/>
  <c r="R34" i="1"/>
  <c r="R27" i="1"/>
  <c r="R18" i="1"/>
  <c r="R14" i="1"/>
  <c r="R8" i="1"/>
  <c r="R53" i="1"/>
  <c r="D75" i="1"/>
  <c r="P75" i="1"/>
  <c r="D69" i="1"/>
  <c r="P69" i="1"/>
  <c r="D62" i="1"/>
  <c r="P62" i="1"/>
  <c r="D63" i="1"/>
  <c r="P63" i="1"/>
  <c r="D64" i="1"/>
  <c r="P64" i="1"/>
  <c r="D65" i="1"/>
  <c r="P65" i="1"/>
  <c r="D66" i="1"/>
  <c r="P66" i="1"/>
  <c r="D67" i="1"/>
  <c r="D68" i="1"/>
  <c r="P68" i="1"/>
  <c r="D47" i="1"/>
  <c r="P47" i="1"/>
  <c r="D38" i="1"/>
  <c r="P38" i="1"/>
  <c r="D34" i="1"/>
  <c r="P34" i="1"/>
  <c r="D27" i="1"/>
  <c r="P27" i="1"/>
  <c r="D18" i="1"/>
  <c r="P18" i="1"/>
  <c r="D14" i="1"/>
  <c r="P14" i="1"/>
  <c r="D8" i="1"/>
  <c r="P8" i="1"/>
  <c r="P53" i="1"/>
  <c r="I72" i="1"/>
  <c r="I71" i="1"/>
  <c r="I70" i="1"/>
  <c r="I78" i="1"/>
  <c r="I77" i="1"/>
  <c r="I76" i="1"/>
  <c r="I79" i="1"/>
  <c r="I69" i="1"/>
  <c r="I53" i="1"/>
  <c r="J44" i="13"/>
  <c r="J35" i="13"/>
  <c r="J31" i="13"/>
  <c r="J24" i="13"/>
  <c r="J15" i="13"/>
  <c r="J11" i="13"/>
  <c r="J5" i="13"/>
  <c r="H73" i="13"/>
  <c r="H74" i="13"/>
  <c r="H75" i="13"/>
  <c r="H76" i="13"/>
  <c r="H72" i="13"/>
  <c r="H67" i="13"/>
  <c r="H68" i="13"/>
  <c r="H69" i="13"/>
  <c r="H66" i="13"/>
  <c r="H50" i="13"/>
  <c r="H44" i="13"/>
  <c r="H35" i="13"/>
  <c r="H31" i="13"/>
  <c r="H24" i="13"/>
  <c r="H15" i="13"/>
  <c r="H11" i="13"/>
  <c r="H5" i="13"/>
  <c r="B5" i="13"/>
  <c r="B11" i="13"/>
  <c r="B17" i="13"/>
  <c r="B23" i="13"/>
  <c r="B15" i="13"/>
  <c r="B26" i="13"/>
  <c r="B27" i="13"/>
  <c r="B28" i="13"/>
  <c r="B29" i="13"/>
  <c r="B24" i="13"/>
  <c r="D5" i="13"/>
  <c r="D11" i="13"/>
  <c r="D15" i="13"/>
  <c r="D17" i="13"/>
  <c r="D23" i="13"/>
  <c r="D24" i="13"/>
  <c r="D26" i="13"/>
  <c r="D27" i="13"/>
  <c r="D28" i="13"/>
  <c r="D29" i="13"/>
  <c r="B33" i="13"/>
  <c r="B31" i="13"/>
  <c r="D31" i="13"/>
  <c r="D33" i="13"/>
  <c r="B37" i="13"/>
  <c r="B35" i="13"/>
  <c r="D35" i="13"/>
  <c r="D37" i="13"/>
  <c r="B45" i="13"/>
  <c r="B44" i="13"/>
  <c r="D44" i="13"/>
  <c r="D45" i="13"/>
  <c r="D49" i="13"/>
  <c r="B50" i="13"/>
  <c r="D50" i="13"/>
  <c r="D51" i="13"/>
  <c r="D52" i="13"/>
  <c r="D53" i="13"/>
  <c r="D54" i="13"/>
  <c r="D55" i="13"/>
  <c r="D56" i="13"/>
  <c r="D57" i="13"/>
  <c r="B59" i="13"/>
  <c r="B60" i="13"/>
  <c r="B65" i="13"/>
  <c r="B58" i="13"/>
  <c r="D58" i="13"/>
  <c r="D59" i="13"/>
  <c r="D60" i="13"/>
  <c r="B67" i="13"/>
  <c r="B69" i="13"/>
  <c r="B66" i="13"/>
  <c r="D66" i="13"/>
  <c r="D67" i="13"/>
  <c r="D69" i="13"/>
  <c r="B73" i="13"/>
  <c r="B74" i="13"/>
  <c r="B75" i="13"/>
  <c r="B76" i="13"/>
  <c r="B77" i="13"/>
  <c r="B72" i="13"/>
  <c r="D72" i="13"/>
  <c r="D73" i="13"/>
  <c r="D74" i="13"/>
  <c r="D75" i="13"/>
  <c r="D76" i="13"/>
  <c r="D77" i="13"/>
  <c r="B78" i="13"/>
  <c r="D78" i="13"/>
  <c r="B80" i="13"/>
  <c r="D80" i="13"/>
  <c r="F72" i="13"/>
  <c r="F66" i="13"/>
  <c r="F58" i="13"/>
  <c r="F50" i="13"/>
  <c r="F44" i="13"/>
  <c r="F35" i="13"/>
  <c r="F31" i="13"/>
  <c r="F24" i="13"/>
  <c r="F15" i="13"/>
  <c r="F11" i="13"/>
  <c r="F5" i="13"/>
  <c r="F80" i="13"/>
  <c r="E79" i="13"/>
  <c r="E72" i="13"/>
  <c r="E68" i="13"/>
  <c r="E69" i="13"/>
  <c r="E70" i="13"/>
  <c r="E71" i="13"/>
  <c r="E66" i="13"/>
  <c r="E59" i="13"/>
  <c r="E60" i="13"/>
  <c r="E61" i="13"/>
  <c r="E62" i="13"/>
  <c r="E63" i="13"/>
  <c r="E64" i="13"/>
  <c r="E58" i="13"/>
  <c r="E50" i="13"/>
  <c r="E45" i="13"/>
  <c r="E46" i="13"/>
  <c r="E47" i="13"/>
  <c r="E48" i="13"/>
  <c r="E44" i="13"/>
  <c r="E36" i="13"/>
  <c r="E37" i="13"/>
  <c r="E38" i="13"/>
  <c r="E39" i="13"/>
  <c r="E40" i="13"/>
  <c r="E41" i="13"/>
  <c r="E42" i="13"/>
  <c r="E43" i="13"/>
  <c r="E35" i="13"/>
  <c r="E32" i="13"/>
  <c r="E33" i="13"/>
  <c r="E34" i="13"/>
  <c r="E31" i="13"/>
  <c r="E25" i="13"/>
  <c r="E26" i="13"/>
  <c r="E27" i="13"/>
  <c r="E28" i="13"/>
  <c r="E29" i="13"/>
  <c r="E30" i="13"/>
  <c r="E24" i="13"/>
  <c r="E16" i="13"/>
  <c r="E17" i="13"/>
  <c r="E18" i="13"/>
  <c r="E19" i="13"/>
  <c r="E20" i="13"/>
  <c r="E21" i="13"/>
  <c r="E22" i="13"/>
  <c r="E23" i="13"/>
  <c r="E15" i="13"/>
  <c r="E12" i="13"/>
  <c r="E13" i="13"/>
  <c r="E14" i="13"/>
  <c r="E11" i="13"/>
  <c r="E6" i="13"/>
  <c r="E7" i="13"/>
  <c r="E8" i="13"/>
  <c r="E9" i="13"/>
  <c r="E10" i="13"/>
  <c r="E5" i="13"/>
  <c r="E80" i="13"/>
  <c r="C72" i="13"/>
  <c r="C66" i="13"/>
  <c r="C58" i="13"/>
  <c r="C50" i="13"/>
  <c r="C44" i="13"/>
  <c r="C35" i="13"/>
  <c r="C31" i="13"/>
  <c r="C24" i="13"/>
  <c r="C15" i="13"/>
  <c r="C11" i="13"/>
  <c r="C5" i="13"/>
  <c r="C80" i="13"/>
  <c r="F78" i="13"/>
  <c r="E78" i="13"/>
  <c r="C78" i="13"/>
  <c r="F77" i="13"/>
  <c r="F76" i="13"/>
  <c r="F75" i="13"/>
  <c r="F74" i="13"/>
  <c r="F73" i="13"/>
  <c r="F69" i="13"/>
  <c r="F67" i="13"/>
  <c r="F65" i="13"/>
  <c r="F60" i="13"/>
  <c r="F59" i="13"/>
  <c r="F57" i="13"/>
  <c r="F56" i="13"/>
  <c r="F55" i="13"/>
  <c r="F54" i="13"/>
  <c r="F53" i="13"/>
  <c r="F52" i="13"/>
  <c r="F51" i="13"/>
  <c r="F49" i="13"/>
  <c r="E49" i="13"/>
  <c r="F45" i="13"/>
  <c r="F37" i="13"/>
  <c r="F33" i="13"/>
  <c r="F29" i="13"/>
  <c r="F28" i="13"/>
  <c r="F27" i="13"/>
  <c r="F26" i="13"/>
  <c r="F23" i="13"/>
  <c r="F17" i="13"/>
  <c r="F18" i="5"/>
  <c r="R18" i="5"/>
  <c r="E18" i="5"/>
  <c r="G18" i="5"/>
  <c r="I18" i="5"/>
  <c r="K18" i="5"/>
  <c r="M18" i="5"/>
  <c r="O18" i="5"/>
  <c r="Q18" i="5"/>
  <c r="S18" i="5"/>
  <c r="S19" i="5"/>
  <c r="D20" i="5"/>
  <c r="R20" i="5"/>
  <c r="E20" i="5"/>
  <c r="F20" i="5"/>
  <c r="G20" i="5"/>
  <c r="H20" i="5"/>
  <c r="I20" i="5"/>
  <c r="J20" i="5"/>
  <c r="K20" i="5"/>
  <c r="L20" i="5"/>
  <c r="M20" i="5"/>
  <c r="N20" i="5"/>
  <c r="O20" i="5"/>
  <c r="P20" i="5"/>
  <c r="Q20" i="5"/>
  <c r="S20" i="5"/>
  <c r="E23" i="5"/>
  <c r="G23" i="5"/>
  <c r="E24" i="5"/>
  <c r="G24" i="5"/>
  <c r="D25" i="5"/>
  <c r="E25" i="5"/>
  <c r="F25" i="5"/>
  <c r="G25" i="5"/>
  <c r="C74" i="1"/>
  <c r="C73" i="1"/>
  <c r="C71" i="1"/>
  <c r="F86" i="1"/>
  <c r="E13" i="1"/>
  <c r="G13" i="1"/>
  <c r="D82" i="1"/>
  <c r="E82" i="1"/>
  <c r="C82" i="1"/>
  <c r="C75" i="1"/>
  <c r="C69" i="1"/>
  <c r="C61" i="1"/>
  <c r="C53" i="1"/>
  <c r="C49" i="1"/>
  <c r="C50" i="1"/>
  <c r="C47" i="1"/>
  <c r="C41" i="1"/>
  <c r="C42" i="1"/>
  <c r="C46" i="1"/>
  <c r="C38" i="1"/>
  <c r="C34" i="1"/>
  <c r="C28" i="1"/>
  <c r="C33" i="1"/>
  <c r="C27" i="1"/>
  <c r="C19" i="1"/>
  <c r="C24" i="1"/>
  <c r="C18" i="1"/>
  <c r="C14" i="1"/>
  <c r="C8" i="1"/>
  <c r="C83" i="1"/>
  <c r="C81" i="1"/>
  <c r="E16" i="6"/>
  <c r="E23" i="6"/>
  <c r="E19" i="6"/>
  <c r="U16" i="6"/>
  <c r="R28" i="6"/>
  <c r="V16" i="6"/>
  <c r="W16" i="6"/>
  <c r="R16" i="6"/>
  <c r="E14" i="6"/>
  <c r="U14" i="6"/>
  <c r="V14" i="6"/>
  <c r="W14" i="6"/>
  <c r="R14" i="6"/>
  <c r="E12" i="6"/>
  <c r="U12" i="6"/>
  <c r="V12" i="6"/>
  <c r="W12" i="6"/>
  <c r="R12" i="6"/>
  <c r="E11" i="6"/>
  <c r="U11" i="6"/>
  <c r="V11" i="6"/>
  <c r="W11" i="6"/>
  <c r="R11" i="6"/>
  <c r="E10" i="6"/>
  <c r="U10" i="6"/>
  <c r="V10" i="6"/>
  <c r="W10" i="6"/>
  <c r="R10" i="6"/>
  <c r="E9" i="6"/>
  <c r="U9" i="6"/>
  <c r="V9" i="6"/>
  <c r="W9" i="6"/>
  <c r="R9" i="6"/>
  <c r="E8" i="6"/>
  <c r="U8" i="6"/>
  <c r="V8" i="6"/>
  <c r="W8" i="6"/>
  <c r="R8" i="6"/>
  <c r="E7" i="6"/>
  <c r="U7" i="6"/>
  <c r="V7" i="6"/>
  <c r="W7" i="6"/>
  <c r="R7" i="6"/>
  <c r="E6" i="6"/>
  <c r="U6" i="6"/>
  <c r="V6" i="6"/>
  <c r="W6" i="6"/>
  <c r="R6" i="6"/>
  <c r="N6" i="6"/>
  <c r="G6" i="6"/>
  <c r="F6" i="6"/>
  <c r="O6" i="6"/>
  <c r="N7" i="6"/>
  <c r="G7" i="6"/>
  <c r="F7" i="6"/>
  <c r="O7" i="6"/>
  <c r="N8" i="6"/>
  <c r="G8" i="6"/>
  <c r="F8" i="6"/>
  <c r="O8" i="6"/>
  <c r="N9" i="6"/>
  <c r="G9" i="6"/>
  <c r="F9" i="6"/>
  <c r="O9" i="6"/>
  <c r="N10" i="6"/>
  <c r="G10" i="6"/>
  <c r="F10" i="6"/>
  <c r="O10" i="6"/>
  <c r="N11" i="6"/>
  <c r="G11" i="6"/>
  <c r="F11" i="6"/>
  <c r="O11" i="6"/>
  <c r="N12" i="6"/>
  <c r="G12" i="6"/>
  <c r="F12" i="6"/>
  <c r="O12" i="6"/>
  <c r="N14" i="6"/>
  <c r="G14" i="6"/>
  <c r="F14" i="6"/>
  <c r="O14" i="6"/>
  <c r="N16" i="6"/>
  <c r="G16" i="6"/>
  <c r="F16" i="6"/>
  <c r="O16" i="6"/>
  <c r="G19" i="6"/>
  <c r="F19" i="6"/>
  <c r="O19" i="6"/>
  <c r="O20" i="6"/>
  <c r="N20" i="6"/>
  <c r="M6" i="6"/>
  <c r="M7" i="6"/>
  <c r="M8" i="6"/>
  <c r="M9" i="6"/>
  <c r="M10" i="6"/>
  <c r="M11" i="6"/>
  <c r="M12" i="6"/>
  <c r="M14" i="6"/>
  <c r="M16" i="6"/>
  <c r="M19" i="6"/>
  <c r="M20" i="6"/>
  <c r="L6" i="6"/>
  <c r="L7" i="6"/>
  <c r="L8" i="6"/>
  <c r="L9" i="6"/>
  <c r="L10" i="6"/>
  <c r="L11" i="6"/>
  <c r="L12" i="6"/>
  <c r="L14" i="6"/>
  <c r="L16" i="6"/>
  <c r="L19" i="6"/>
  <c r="L20" i="6"/>
  <c r="K20" i="6"/>
  <c r="I7" i="6"/>
  <c r="I8" i="6"/>
  <c r="I9" i="6"/>
  <c r="I10" i="6"/>
  <c r="I11" i="6"/>
  <c r="I12" i="6"/>
  <c r="I14" i="6"/>
  <c r="I16" i="6"/>
  <c r="I19" i="6"/>
  <c r="I6" i="6"/>
  <c r="I20" i="6"/>
  <c r="H20" i="6"/>
  <c r="G20" i="6"/>
  <c r="F20" i="6"/>
  <c r="E20" i="6"/>
  <c r="D5" i="5"/>
  <c r="E5" i="8"/>
  <c r="E6" i="8"/>
  <c r="E7" i="8"/>
  <c r="E8" i="8"/>
  <c r="E9" i="8"/>
  <c r="E10" i="8"/>
  <c r="E11" i="8"/>
  <c r="E12" i="8"/>
  <c r="E14" i="8"/>
  <c r="E15" i="8"/>
  <c r="E17" i="8"/>
  <c r="E4" i="8"/>
  <c r="A17" i="8"/>
  <c r="A16" i="8"/>
  <c r="A15" i="8"/>
  <c r="A14" i="8"/>
  <c r="A13" i="8"/>
  <c r="A12" i="8"/>
  <c r="A11" i="8"/>
  <c r="A10" i="8"/>
  <c r="A9" i="8"/>
  <c r="A8" i="8"/>
  <c r="A7" i="8"/>
  <c r="A6" i="8"/>
  <c r="A5" i="8"/>
  <c r="A4" i="8"/>
  <c r="B53" i="1"/>
  <c r="U20" i="6"/>
  <c r="V20" i="6"/>
  <c r="W20" i="6"/>
  <c r="U19" i="6"/>
  <c r="V19" i="6"/>
  <c r="W19" i="6"/>
  <c r="G17" i="6"/>
  <c r="F17" i="6"/>
  <c r="O17" i="6"/>
  <c r="G13" i="6"/>
  <c r="F13" i="6"/>
  <c r="O13" i="6"/>
  <c r="M17" i="6"/>
  <c r="M13" i="6"/>
  <c r="L13" i="6"/>
  <c r="K21" i="6"/>
  <c r="K22" i="6"/>
  <c r="I17" i="6"/>
  <c r="I13" i="6"/>
  <c r="H21" i="6"/>
  <c r="H22" i="6"/>
  <c r="E24" i="6"/>
  <c r="J20" i="6"/>
  <c r="B81" i="1"/>
  <c r="T10" i="6"/>
  <c r="F53" i="1"/>
  <c r="F55" i="1"/>
  <c r="G55" i="1"/>
  <c r="G56" i="1"/>
  <c r="F57" i="1"/>
  <c r="G57" i="1"/>
  <c r="F58" i="1"/>
  <c r="G58" i="1"/>
  <c r="F59" i="1"/>
  <c r="G59" i="1"/>
  <c r="F60" i="1"/>
  <c r="G60" i="1"/>
  <c r="E68" i="1"/>
  <c r="G68" i="1"/>
  <c r="L83" i="1"/>
  <c r="J83" i="1"/>
  <c r="K68" i="1"/>
  <c r="M68" i="1"/>
  <c r="O68" i="1"/>
  <c r="Q68" i="1"/>
  <c r="S68" i="1"/>
  <c r="S62" i="1"/>
  <c r="S63" i="1"/>
  <c r="S64" i="1"/>
  <c r="S65" i="1"/>
  <c r="S66" i="1"/>
  <c r="Q62" i="1"/>
  <c r="Q63" i="1"/>
  <c r="Q64" i="1"/>
  <c r="Q65" i="1"/>
  <c r="Q66" i="1"/>
  <c r="O62" i="1"/>
  <c r="O63" i="1"/>
  <c r="O64" i="1"/>
  <c r="O65" i="1"/>
  <c r="O66" i="1"/>
  <c r="M63" i="1"/>
  <c r="M62" i="1"/>
  <c r="M64" i="1"/>
  <c r="M65" i="1"/>
  <c r="M66" i="1"/>
  <c r="K63" i="1"/>
  <c r="K62" i="1"/>
  <c r="K64" i="1"/>
  <c r="K65" i="1"/>
  <c r="K66" i="1"/>
  <c r="G62" i="1"/>
  <c r="G63" i="1"/>
  <c r="G64" i="1"/>
  <c r="G65" i="1"/>
  <c r="G66" i="1"/>
  <c r="G67" i="1"/>
  <c r="G61" i="1"/>
  <c r="E62" i="1"/>
  <c r="E63" i="1"/>
  <c r="E64" i="1"/>
  <c r="E65" i="1"/>
  <c r="E66" i="1"/>
  <c r="E67" i="1"/>
  <c r="E61" i="1"/>
  <c r="D61" i="1"/>
  <c r="N13" i="1"/>
  <c r="O13" i="1"/>
  <c r="D53" i="1"/>
  <c r="D81" i="1"/>
  <c r="E75" i="1"/>
  <c r="E69" i="1"/>
  <c r="E53" i="1"/>
  <c r="E47" i="1"/>
  <c r="E38" i="1"/>
  <c r="E34" i="1"/>
  <c r="E27" i="1"/>
  <c r="E18" i="1"/>
  <c r="E14" i="1"/>
  <c r="E8" i="1"/>
  <c r="E81" i="1"/>
  <c r="F81" i="1"/>
  <c r="G75" i="1"/>
  <c r="G69" i="1"/>
  <c r="G53" i="1"/>
  <c r="G47" i="1"/>
  <c r="G38" i="1"/>
  <c r="G34" i="1"/>
  <c r="G27" i="1"/>
  <c r="G18" i="1"/>
  <c r="G14" i="1"/>
  <c r="G8" i="1"/>
  <c r="G81" i="1"/>
  <c r="L47" i="1"/>
  <c r="J47" i="1"/>
  <c r="L38" i="1"/>
  <c r="J38" i="1"/>
  <c r="L34" i="1"/>
  <c r="J34" i="1"/>
  <c r="L27" i="1"/>
  <c r="J27" i="1"/>
  <c r="L18" i="1"/>
  <c r="J18" i="1"/>
  <c r="L14" i="1"/>
  <c r="J14" i="1"/>
  <c r="L8" i="1"/>
  <c r="J8" i="1"/>
  <c r="K69" i="1"/>
  <c r="K53" i="1"/>
  <c r="K47" i="1"/>
  <c r="K38" i="1"/>
  <c r="K34" i="1"/>
  <c r="K27" i="1"/>
  <c r="K18" i="1"/>
  <c r="K14" i="1"/>
  <c r="K8" i="1"/>
  <c r="M69" i="1"/>
  <c r="M53" i="1"/>
  <c r="M47" i="1"/>
  <c r="M38" i="1"/>
  <c r="M34" i="1"/>
  <c r="M27" i="1"/>
  <c r="M18" i="1"/>
  <c r="M14" i="1"/>
  <c r="M8" i="1"/>
  <c r="O69" i="1"/>
  <c r="O53" i="1"/>
  <c r="O47" i="1"/>
  <c r="O38" i="1"/>
  <c r="O34" i="1"/>
  <c r="O27" i="1"/>
  <c r="O18" i="1"/>
  <c r="O14" i="1"/>
  <c r="O8" i="1"/>
  <c r="Q69" i="1"/>
  <c r="Q53" i="1"/>
  <c r="Q47" i="1"/>
  <c r="Q38" i="1"/>
  <c r="Q34" i="1"/>
  <c r="Q27" i="1"/>
  <c r="Q18" i="1"/>
  <c r="Q14" i="1"/>
  <c r="Q8" i="1"/>
  <c r="S69" i="1"/>
  <c r="S53" i="1"/>
  <c r="S47" i="1"/>
  <c r="S38" i="1"/>
  <c r="S34" i="1"/>
  <c r="S27" i="1"/>
  <c r="S18" i="1"/>
  <c r="S14" i="1"/>
  <c r="S8" i="1"/>
  <c r="F4" i="8"/>
  <c r="R27" i="6"/>
  <c r="R23" i="6"/>
  <c r="R24" i="6"/>
  <c r="R25" i="6"/>
  <c r="F5" i="8"/>
  <c r="F6" i="8"/>
  <c r="F7" i="8"/>
  <c r="F8" i="8"/>
  <c r="F9" i="8"/>
  <c r="F10" i="8"/>
  <c r="F11" i="8"/>
  <c r="F12" i="8"/>
  <c r="F14" i="8"/>
  <c r="F15" i="8"/>
  <c r="F17" i="8"/>
  <c r="P6" i="6"/>
  <c r="J6" i="6"/>
  <c r="G17" i="8"/>
  <c r="G15" i="8"/>
  <c r="G14" i="8"/>
  <c r="G12" i="8"/>
  <c r="G11" i="8"/>
  <c r="G10" i="8"/>
  <c r="G9" i="8"/>
  <c r="G8" i="8"/>
  <c r="G7" i="8"/>
  <c r="G6" i="8"/>
  <c r="G5" i="8"/>
  <c r="G4" i="8"/>
  <c r="P20" i="6"/>
  <c r="R19" i="6"/>
  <c r="J19" i="6"/>
  <c r="P17" i="6"/>
  <c r="J17" i="6"/>
  <c r="P16" i="6"/>
  <c r="J16" i="6"/>
  <c r="P14" i="6"/>
  <c r="J14" i="6"/>
  <c r="P13" i="6"/>
  <c r="J13" i="6"/>
  <c r="P12" i="6"/>
  <c r="J12" i="6"/>
  <c r="P11" i="6"/>
  <c r="J11" i="6"/>
  <c r="P10" i="6"/>
  <c r="J10" i="6"/>
  <c r="P9" i="6"/>
  <c r="J9" i="6"/>
  <c r="P8" i="6"/>
  <c r="J8" i="6"/>
  <c r="P7" i="6"/>
  <c r="J7" i="6"/>
  <c r="F5" i="5"/>
  <c r="H5" i="5"/>
  <c r="J5" i="5"/>
  <c r="L5" i="5"/>
  <c r="N5" i="5"/>
  <c r="P5" i="5"/>
  <c r="E5" i="5"/>
  <c r="G5" i="5"/>
  <c r="I5" i="5"/>
  <c r="K5" i="5"/>
  <c r="M5" i="5"/>
  <c r="O5" i="5"/>
  <c r="Q5" i="5"/>
  <c r="R5" i="5"/>
  <c r="S5" i="5"/>
  <c r="U5" i="5"/>
  <c r="R84" i="1"/>
  <c r="P84" i="1"/>
  <c r="N84" i="1"/>
  <c r="L82" i="1"/>
  <c r="R82" i="1"/>
  <c r="F80" i="1"/>
  <c r="F79" i="1"/>
  <c r="L79" i="1"/>
  <c r="R79" i="1"/>
  <c r="F78" i="1"/>
  <c r="L78" i="1"/>
  <c r="R78" i="1"/>
  <c r="F77" i="1"/>
  <c r="L77" i="1"/>
  <c r="R77" i="1"/>
  <c r="F76" i="1"/>
  <c r="L76" i="1"/>
  <c r="R76" i="1"/>
  <c r="F74" i="1"/>
  <c r="L74" i="1"/>
  <c r="R74" i="1"/>
  <c r="F73" i="1"/>
  <c r="L73" i="1"/>
  <c r="R73" i="1"/>
  <c r="F72" i="1"/>
  <c r="L72" i="1"/>
  <c r="R72" i="1"/>
  <c r="R71" i="1"/>
  <c r="R70" i="1"/>
  <c r="L60" i="1"/>
  <c r="R60" i="1"/>
  <c r="L59" i="1"/>
  <c r="R59" i="1"/>
  <c r="L58" i="1"/>
  <c r="R58" i="1"/>
  <c r="L57" i="1"/>
  <c r="R57" i="1"/>
  <c r="L55" i="1"/>
  <c r="R55" i="1"/>
  <c r="F54" i="1"/>
  <c r="R54" i="1"/>
  <c r="F51" i="1"/>
  <c r="L51" i="1"/>
  <c r="R51" i="1"/>
  <c r="F50" i="1"/>
  <c r="L50" i="1"/>
  <c r="R50" i="1"/>
  <c r="F49" i="1"/>
  <c r="L49" i="1"/>
  <c r="R49" i="1"/>
  <c r="F48" i="1"/>
  <c r="L48" i="1"/>
  <c r="R48" i="1"/>
  <c r="F46" i="1"/>
  <c r="L46" i="1"/>
  <c r="R46" i="1"/>
  <c r="F45" i="1"/>
  <c r="L45" i="1"/>
  <c r="R45" i="1"/>
  <c r="F44" i="1"/>
  <c r="L44" i="1"/>
  <c r="R44" i="1"/>
  <c r="F43" i="1"/>
  <c r="L43" i="1"/>
  <c r="R43" i="1"/>
  <c r="F42" i="1"/>
  <c r="L42" i="1"/>
  <c r="R42" i="1"/>
  <c r="F41" i="1"/>
  <c r="L41" i="1"/>
  <c r="R41" i="1"/>
  <c r="F40" i="1"/>
  <c r="L40" i="1"/>
  <c r="R40" i="1"/>
  <c r="F39" i="1"/>
  <c r="L39" i="1"/>
  <c r="R39" i="1"/>
  <c r="F37" i="1"/>
  <c r="L37" i="1"/>
  <c r="R37" i="1"/>
  <c r="F36" i="1"/>
  <c r="L36" i="1"/>
  <c r="R36" i="1"/>
  <c r="F35" i="1"/>
  <c r="L35" i="1"/>
  <c r="R35" i="1"/>
  <c r="F33" i="1"/>
  <c r="L33" i="1"/>
  <c r="R33" i="1"/>
  <c r="F32" i="1"/>
  <c r="L32" i="1"/>
  <c r="R32" i="1"/>
  <c r="F31" i="1"/>
  <c r="L31" i="1"/>
  <c r="R31" i="1"/>
  <c r="F30" i="1"/>
  <c r="L30" i="1"/>
  <c r="R30" i="1"/>
  <c r="F29" i="1"/>
  <c r="L29" i="1"/>
  <c r="R29" i="1"/>
  <c r="F28" i="1"/>
  <c r="L28" i="1"/>
  <c r="R28" i="1"/>
  <c r="F26" i="1"/>
  <c r="L26" i="1"/>
  <c r="R26" i="1"/>
  <c r="F25" i="1"/>
  <c r="L25" i="1"/>
  <c r="R25" i="1"/>
  <c r="F24" i="1"/>
  <c r="L24" i="1"/>
  <c r="R24" i="1"/>
  <c r="F23" i="1"/>
  <c r="L23" i="1"/>
  <c r="R23" i="1"/>
  <c r="F22" i="1"/>
  <c r="L22" i="1"/>
  <c r="R22" i="1"/>
  <c r="F21" i="1"/>
  <c r="L21" i="1"/>
  <c r="R21" i="1"/>
  <c r="F20" i="1"/>
  <c r="L20" i="1"/>
  <c r="R20" i="1"/>
  <c r="F19" i="1"/>
  <c r="L19" i="1"/>
  <c r="R19" i="1"/>
  <c r="F17" i="1"/>
  <c r="L17" i="1"/>
  <c r="R17" i="1"/>
  <c r="F16" i="1"/>
  <c r="L16" i="1"/>
  <c r="R16" i="1"/>
  <c r="F15" i="1"/>
  <c r="L15" i="1"/>
  <c r="R15" i="1"/>
  <c r="F12" i="1"/>
  <c r="L12" i="1"/>
  <c r="R12" i="1"/>
  <c r="F11" i="1"/>
  <c r="L11" i="1"/>
  <c r="R11" i="1"/>
  <c r="F10" i="1"/>
  <c r="L10" i="1"/>
  <c r="R10" i="1"/>
  <c r="F9" i="1"/>
  <c r="L9" i="1"/>
  <c r="R9" i="1"/>
  <c r="N73" i="1"/>
  <c r="N74" i="1"/>
  <c r="N76" i="1"/>
  <c r="N77" i="1"/>
  <c r="N78" i="1"/>
  <c r="N79" i="1"/>
  <c r="N82" i="1"/>
  <c r="N9" i="1"/>
  <c r="N10" i="1"/>
  <c r="N11" i="1"/>
  <c r="N12" i="1"/>
  <c r="N15" i="1"/>
  <c r="N16" i="1"/>
  <c r="N17" i="1"/>
  <c r="N19" i="1"/>
  <c r="N20" i="1"/>
  <c r="N21" i="1"/>
  <c r="N22" i="1"/>
  <c r="N23" i="1"/>
  <c r="N24" i="1"/>
  <c r="N25" i="1"/>
  <c r="N26" i="1"/>
  <c r="N28" i="1"/>
  <c r="N29" i="1"/>
  <c r="N30" i="1"/>
  <c r="N31" i="1"/>
  <c r="N32" i="1"/>
  <c r="N33" i="1"/>
  <c r="N35" i="1"/>
  <c r="N36" i="1"/>
  <c r="N37" i="1"/>
  <c r="N39" i="1"/>
  <c r="N40" i="1"/>
  <c r="N41" i="1"/>
  <c r="N42" i="1"/>
  <c r="N43" i="1"/>
  <c r="N44" i="1"/>
  <c r="N45" i="1"/>
  <c r="N46" i="1"/>
  <c r="N48" i="1"/>
  <c r="N49" i="1"/>
  <c r="N50" i="1"/>
  <c r="N51" i="1"/>
  <c r="N54" i="1"/>
  <c r="N55" i="1"/>
  <c r="N57" i="1"/>
  <c r="N58" i="1"/>
  <c r="N59" i="1"/>
  <c r="N60" i="1"/>
  <c r="N70" i="1"/>
  <c r="N71" i="1"/>
  <c r="N72" i="1"/>
  <c r="D9" i="1"/>
  <c r="J9" i="1"/>
  <c r="P9" i="1"/>
  <c r="Q9" i="1"/>
  <c r="D10" i="1"/>
  <c r="J10" i="1"/>
  <c r="P10" i="1"/>
  <c r="D11" i="1"/>
  <c r="J11" i="1"/>
  <c r="P11" i="1"/>
  <c r="D12" i="1"/>
  <c r="J12" i="1"/>
  <c r="P12" i="1"/>
  <c r="D15" i="1"/>
  <c r="J15" i="1"/>
  <c r="P15" i="1"/>
  <c r="D16" i="1"/>
  <c r="J16" i="1"/>
  <c r="P16" i="1"/>
  <c r="D17" i="1"/>
  <c r="J17" i="1"/>
  <c r="P17" i="1"/>
  <c r="D19" i="1"/>
  <c r="J19" i="1"/>
  <c r="P19" i="1"/>
  <c r="D20" i="1"/>
  <c r="J20" i="1"/>
  <c r="P20" i="1"/>
  <c r="D21" i="1"/>
  <c r="J21" i="1"/>
  <c r="P21" i="1"/>
  <c r="D22" i="1"/>
  <c r="J22" i="1"/>
  <c r="P22" i="1"/>
  <c r="D23" i="1"/>
  <c r="J23" i="1"/>
  <c r="P23" i="1"/>
  <c r="D24" i="1"/>
  <c r="J24" i="1"/>
  <c r="P24" i="1"/>
  <c r="D25" i="1"/>
  <c r="J25" i="1"/>
  <c r="P25" i="1"/>
  <c r="D26" i="1"/>
  <c r="J26" i="1"/>
  <c r="P26" i="1"/>
  <c r="D28" i="1"/>
  <c r="J28" i="1"/>
  <c r="P28" i="1"/>
  <c r="D29" i="1"/>
  <c r="J29" i="1"/>
  <c r="P29" i="1"/>
  <c r="D30" i="1"/>
  <c r="J30" i="1"/>
  <c r="P30" i="1"/>
  <c r="D31" i="1"/>
  <c r="J31" i="1"/>
  <c r="P31" i="1"/>
  <c r="D32" i="1"/>
  <c r="J32" i="1"/>
  <c r="P32" i="1"/>
  <c r="D33" i="1"/>
  <c r="J33" i="1"/>
  <c r="P33" i="1"/>
  <c r="D35" i="1"/>
  <c r="J35" i="1"/>
  <c r="P35" i="1"/>
  <c r="D36" i="1"/>
  <c r="J36" i="1"/>
  <c r="P36" i="1"/>
  <c r="D37" i="1"/>
  <c r="J37" i="1"/>
  <c r="P37" i="1"/>
  <c r="D39" i="1"/>
  <c r="J39" i="1"/>
  <c r="P39" i="1"/>
  <c r="D40" i="1"/>
  <c r="J40" i="1"/>
  <c r="P40" i="1"/>
  <c r="D41" i="1"/>
  <c r="J41" i="1"/>
  <c r="P41" i="1"/>
  <c r="D42" i="1"/>
  <c r="J42" i="1"/>
  <c r="P42" i="1"/>
  <c r="D43" i="1"/>
  <c r="J43" i="1"/>
  <c r="P43" i="1"/>
  <c r="D44" i="1"/>
  <c r="J44" i="1"/>
  <c r="P44" i="1"/>
  <c r="D45" i="1"/>
  <c r="J45" i="1"/>
  <c r="P45" i="1"/>
  <c r="D46" i="1"/>
  <c r="J46" i="1"/>
  <c r="P46" i="1"/>
  <c r="D48" i="1"/>
  <c r="J48" i="1"/>
  <c r="P48" i="1"/>
  <c r="D49" i="1"/>
  <c r="J49" i="1"/>
  <c r="P49" i="1"/>
  <c r="D50" i="1"/>
  <c r="J50" i="1"/>
  <c r="P50" i="1"/>
  <c r="D51" i="1"/>
  <c r="J51" i="1"/>
  <c r="P51" i="1"/>
  <c r="J54" i="1"/>
  <c r="D54" i="1"/>
  <c r="P54" i="1"/>
  <c r="J55" i="1"/>
  <c r="D55" i="1"/>
  <c r="P55" i="1"/>
  <c r="J57" i="1"/>
  <c r="D57" i="1"/>
  <c r="P57" i="1"/>
  <c r="J58" i="1"/>
  <c r="D58" i="1"/>
  <c r="P58" i="1"/>
  <c r="J59" i="1"/>
  <c r="D59" i="1"/>
  <c r="P59" i="1"/>
  <c r="J60" i="1"/>
  <c r="D60" i="1"/>
  <c r="P60" i="1"/>
  <c r="D70" i="1"/>
  <c r="J70" i="1"/>
  <c r="P70" i="1"/>
  <c r="D71" i="1"/>
  <c r="J71" i="1"/>
  <c r="P71" i="1"/>
  <c r="D72" i="1"/>
  <c r="J72" i="1"/>
  <c r="P72" i="1"/>
  <c r="D73" i="1"/>
  <c r="J73" i="1"/>
  <c r="P73" i="1"/>
  <c r="D74" i="1"/>
  <c r="J74" i="1"/>
  <c r="P74" i="1"/>
  <c r="D76" i="1"/>
  <c r="J76" i="1"/>
  <c r="P76" i="1"/>
  <c r="D77" i="1"/>
  <c r="J77" i="1"/>
  <c r="P77" i="1"/>
  <c r="D78" i="1"/>
  <c r="J78" i="1"/>
  <c r="P78" i="1"/>
  <c r="D79" i="1"/>
  <c r="J79" i="1"/>
  <c r="P79" i="1"/>
  <c r="D80" i="1"/>
  <c r="J82" i="1"/>
  <c r="P82" i="1"/>
  <c r="O9" i="1"/>
  <c r="O10" i="1"/>
  <c r="O11" i="1"/>
  <c r="O12" i="1"/>
  <c r="O15" i="1"/>
  <c r="O16" i="1"/>
  <c r="O17" i="1"/>
  <c r="O19" i="1"/>
  <c r="O20" i="1"/>
  <c r="O21" i="1"/>
  <c r="O22" i="1"/>
  <c r="O23" i="1"/>
  <c r="O24" i="1"/>
  <c r="O25" i="1"/>
  <c r="O26" i="1"/>
  <c r="O28" i="1"/>
  <c r="O29" i="1"/>
  <c r="O30" i="1"/>
  <c r="O31" i="1"/>
  <c r="O32" i="1"/>
  <c r="O33" i="1"/>
  <c r="O35" i="1"/>
  <c r="O36" i="1"/>
  <c r="O37" i="1"/>
  <c r="O39" i="1"/>
  <c r="O40" i="1"/>
  <c r="O41" i="1"/>
  <c r="O42" i="1"/>
  <c r="O43" i="1"/>
  <c r="O44" i="1"/>
  <c r="O45" i="1"/>
  <c r="O46" i="1"/>
  <c r="O48" i="1"/>
  <c r="O49" i="1"/>
  <c r="O50" i="1"/>
  <c r="O51" i="1"/>
  <c r="O73" i="1"/>
  <c r="O74" i="1"/>
  <c r="O82" i="1"/>
  <c r="O83" i="1"/>
  <c r="S83" i="1"/>
  <c r="Q83" i="1"/>
  <c r="S82" i="1"/>
  <c r="Q82" i="1"/>
  <c r="S74" i="1"/>
  <c r="Q74" i="1"/>
  <c r="S73" i="1"/>
  <c r="Q73" i="1"/>
  <c r="S51" i="1"/>
  <c r="Q51" i="1"/>
  <c r="S50" i="1"/>
  <c r="Q50" i="1"/>
  <c r="S49" i="1"/>
  <c r="Q49" i="1"/>
  <c r="S48" i="1"/>
  <c r="Q48" i="1"/>
  <c r="S46" i="1"/>
  <c r="Q46" i="1"/>
  <c r="S45" i="1"/>
  <c r="Q45" i="1"/>
  <c r="S44" i="1"/>
  <c r="Q44" i="1"/>
  <c r="S43" i="1"/>
  <c r="Q43" i="1"/>
  <c r="S42" i="1"/>
  <c r="Q42" i="1"/>
  <c r="S41" i="1"/>
  <c r="Q41" i="1"/>
  <c r="S40" i="1"/>
  <c r="Q40" i="1"/>
  <c r="S39" i="1"/>
  <c r="Q39" i="1"/>
  <c r="S37" i="1"/>
  <c r="Q37" i="1"/>
  <c r="S36" i="1"/>
  <c r="Q36" i="1"/>
  <c r="S35" i="1"/>
  <c r="Q35" i="1"/>
  <c r="S33" i="1"/>
  <c r="Q33" i="1"/>
  <c r="S32" i="1"/>
  <c r="Q32" i="1"/>
  <c r="S31" i="1"/>
  <c r="Q31" i="1"/>
  <c r="S30" i="1"/>
  <c r="Q30" i="1"/>
  <c r="S29" i="1"/>
  <c r="Q29" i="1"/>
  <c r="S28" i="1"/>
  <c r="Q28" i="1"/>
  <c r="S26" i="1"/>
  <c r="Q26" i="1"/>
  <c r="S25" i="1"/>
  <c r="Q25" i="1"/>
  <c r="S24" i="1"/>
  <c r="Q24" i="1"/>
  <c r="S23" i="1"/>
  <c r="Q23" i="1"/>
  <c r="S22" i="1"/>
  <c r="Q22" i="1"/>
  <c r="S21" i="1"/>
  <c r="Q21" i="1"/>
  <c r="S20" i="1"/>
  <c r="Q20" i="1"/>
  <c r="S19" i="1"/>
  <c r="Q19" i="1"/>
  <c r="S17" i="1"/>
  <c r="Q17" i="1"/>
  <c r="S16" i="1"/>
  <c r="Q16" i="1"/>
  <c r="S15" i="1"/>
  <c r="Q15" i="1"/>
  <c r="S12" i="1"/>
  <c r="Q12" i="1"/>
  <c r="S11" i="1"/>
  <c r="Q11" i="1"/>
  <c r="S10" i="1"/>
  <c r="Q10" i="1"/>
  <c r="S9" i="1"/>
  <c r="F84" i="1"/>
  <c r="L84" i="1"/>
  <c r="J84" i="1"/>
  <c r="H84" i="1"/>
  <c r="D84" i="1"/>
  <c r="B84" i="1"/>
  <c r="M83" i="1"/>
  <c r="M82" i="1"/>
  <c r="M79" i="1"/>
  <c r="M78" i="1"/>
  <c r="M77" i="1"/>
  <c r="M76" i="1"/>
  <c r="M74" i="1"/>
  <c r="M73" i="1"/>
  <c r="M72" i="1"/>
  <c r="M71" i="1"/>
  <c r="M70" i="1"/>
  <c r="M60" i="1"/>
  <c r="M59" i="1"/>
  <c r="M58" i="1"/>
  <c r="M57" i="1"/>
  <c r="M55" i="1"/>
  <c r="M54" i="1"/>
  <c r="M51" i="1"/>
  <c r="M50" i="1"/>
  <c r="M49" i="1"/>
  <c r="M48" i="1"/>
  <c r="M46" i="1"/>
  <c r="M45" i="1"/>
  <c r="M44" i="1"/>
  <c r="M43" i="1"/>
  <c r="M42" i="1"/>
  <c r="M41" i="1"/>
  <c r="M40" i="1"/>
  <c r="M39" i="1"/>
  <c r="M37" i="1"/>
  <c r="M36" i="1"/>
  <c r="M35" i="1"/>
  <c r="M33" i="1"/>
  <c r="M32" i="1"/>
  <c r="M31" i="1"/>
  <c r="M30" i="1"/>
  <c r="M29" i="1"/>
  <c r="M28" i="1"/>
  <c r="M26" i="1"/>
  <c r="M25" i="1"/>
  <c r="M24" i="1"/>
  <c r="M23" i="1"/>
  <c r="M22" i="1"/>
  <c r="M21" i="1"/>
  <c r="M20" i="1"/>
  <c r="M19" i="1"/>
  <c r="M17" i="1"/>
  <c r="M16" i="1"/>
  <c r="M15" i="1"/>
  <c r="M12" i="1"/>
  <c r="M11" i="1"/>
  <c r="M10" i="1"/>
  <c r="M9" i="1"/>
  <c r="G83" i="1"/>
  <c r="G82" i="1"/>
  <c r="G80" i="1"/>
  <c r="G79" i="1"/>
  <c r="G78" i="1"/>
  <c r="G77" i="1"/>
  <c r="G76" i="1"/>
  <c r="G74" i="1"/>
  <c r="G73" i="1"/>
  <c r="G72" i="1"/>
  <c r="G71" i="1"/>
  <c r="G70" i="1"/>
  <c r="G54" i="1"/>
  <c r="G51" i="1"/>
  <c r="G50" i="1"/>
  <c r="G49" i="1"/>
  <c r="G48" i="1"/>
  <c r="G46" i="1"/>
  <c r="G45" i="1"/>
  <c r="G44" i="1"/>
  <c r="G43" i="1"/>
  <c r="G42" i="1"/>
  <c r="G41" i="1"/>
  <c r="G40" i="1"/>
  <c r="G39" i="1"/>
  <c r="G37" i="1"/>
  <c r="G36" i="1"/>
  <c r="G35" i="1"/>
  <c r="G33" i="1"/>
  <c r="G32" i="1"/>
  <c r="G31" i="1"/>
  <c r="G30" i="1"/>
  <c r="G29" i="1"/>
  <c r="G28" i="1"/>
  <c r="G26" i="1"/>
  <c r="G25" i="1"/>
  <c r="G24" i="1"/>
  <c r="G23" i="1"/>
  <c r="G22" i="1"/>
  <c r="G21" i="1"/>
  <c r="G20" i="1"/>
  <c r="G19" i="1"/>
  <c r="G17" i="1"/>
  <c r="G16" i="1"/>
  <c r="G15" i="1"/>
  <c r="G12" i="1"/>
  <c r="G11" i="1"/>
  <c r="G10" i="1"/>
  <c r="G9" i="1"/>
  <c r="K9" i="1"/>
  <c r="K10" i="1"/>
  <c r="K11" i="1"/>
  <c r="K12" i="1"/>
  <c r="K15" i="1"/>
  <c r="K16" i="1"/>
  <c r="K17" i="1"/>
  <c r="K19" i="1"/>
  <c r="K20" i="1"/>
  <c r="K21" i="1"/>
  <c r="K22" i="1"/>
  <c r="K23" i="1"/>
  <c r="K24" i="1"/>
  <c r="K25" i="1"/>
  <c r="K26" i="1"/>
  <c r="K28" i="1"/>
  <c r="K29" i="1"/>
  <c r="K30" i="1"/>
  <c r="K31" i="1"/>
  <c r="K32" i="1"/>
  <c r="K33" i="1"/>
  <c r="K35" i="1"/>
  <c r="K36" i="1"/>
  <c r="K37" i="1"/>
  <c r="K39" i="1"/>
  <c r="K40" i="1"/>
  <c r="K41" i="1"/>
  <c r="K42" i="1"/>
  <c r="K43" i="1"/>
  <c r="K44" i="1"/>
  <c r="K45" i="1"/>
  <c r="K46" i="1"/>
  <c r="K48" i="1"/>
  <c r="K49" i="1"/>
  <c r="K50" i="1"/>
  <c r="K51" i="1"/>
  <c r="K54" i="1"/>
  <c r="K55" i="1"/>
  <c r="K57" i="1"/>
  <c r="K58" i="1"/>
  <c r="K59" i="1"/>
  <c r="K60" i="1"/>
  <c r="K70" i="1"/>
  <c r="K71" i="1"/>
  <c r="K72" i="1"/>
  <c r="K73" i="1"/>
  <c r="K74" i="1"/>
  <c r="K76" i="1"/>
  <c r="K77" i="1"/>
  <c r="K78" i="1"/>
  <c r="K79" i="1"/>
  <c r="K82" i="1"/>
  <c r="K83" i="1"/>
  <c r="E9" i="1"/>
  <c r="E10" i="1"/>
  <c r="E11" i="1"/>
  <c r="E12" i="1"/>
  <c r="E15" i="1"/>
  <c r="E16" i="1"/>
  <c r="E17" i="1"/>
  <c r="E19" i="1"/>
  <c r="E20" i="1"/>
  <c r="E21" i="1"/>
  <c r="E22" i="1"/>
  <c r="E23" i="1"/>
  <c r="E24" i="1"/>
  <c r="E25" i="1"/>
  <c r="E26" i="1"/>
  <c r="E28" i="1"/>
  <c r="E29" i="1"/>
  <c r="E30" i="1"/>
  <c r="E31" i="1"/>
  <c r="E32" i="1"/>
  <c r="E33" i="1"/>
  <c r="E35" i="1"/>
  <c r="E36" i="1"/>
  <c r="E37" i="1"/>
  <c r="E39" i="1"/>
  <c r="E40" i="1"/>
  <c r="E41" i="1"/>
  <c r="E42" i="1"/>
  <c r="E43" i="1"/>
  <c r="E44" i="1"/>
  <c r="E45" i="1"/>
  <c r="E46" i="1"/>
  <c r="E48" i="1"/>
  <c r="E49" i="1"/>
  <c r="E50" i="1"/>
  <c r="E51" i="1"/>
  <c r="E54" i="1"/>
  <c r="E55" i="1"/>
  <c r="E57" i="1"/>
  <c r="E58" i="1"/>
  <c r="E59" i="1"/>
  <c r="E60" i="1"/>
  <c r="E70" i="1"/>
  <c r="E71" i="1"/>
  <c r="E72" i="1"/>
  <c r="E73" i="1"/>
  <c r="E74" i="1"/>
  <c r="E76" i="1"/>
  <c r="E77" i="1"/>
  <c r="E78" i="1"/>
  <c r="E79" i="1"/>
  <c r="E80" i="1"/>
  <c r="E83" i="1"/>
  <c r="I75" i="1"/>
  <c r="Q54" i="1"/>
  <c r="Q55" i="1"/>
  <c r="Q57" i="1"/>
  <c r="Q58" i="1"/>
  <c r="Q59" i="1"/>
  <c r="Q60" i="1"/>
  <c r="Q70" i="1"/>
  <c r="Q71" i="1"/>
  <c r="Q72" i="1"/>
  <c r="Q76" i="1"/>
  <c r="Q77" i="1"/>
  <c r="Q78" i="1"/>
  <c r="Q79" i="1"/>
  <c r="O54" i="1"/>
  <c r="S54" i="1"/>
  <c r="O55" i="1"/>
  <c r="S55" i="1"/>
  <c r="O57" i="1"/>
  <c r="S57" i="1"/>
  <c r="O58" i="1"/>
  <c r="S58" i="1"/>
  <c r="O59" i="1"/>
  <c r="S59" i="1"/>
  <c r="O60" i="1"/>
  <c r="S60" i="1"/>
  <c r="O70" i="1"/>
  <c r="S70" i="1"/>
  <c r="O71" i="1"/>
  <c r="S71" i="1"/>
  <c r="O72" i="1"/>
  <c r="S72" i="1"/>
  <c r="O76" i="1"/>
  <c r="S76" i="1"/>
  <c r="O77" i="1"/>
  <c r="S77" i="1"/>
  <c r="O78" i="1"/>
  <c r="S78" i="1"/>
  <c r="O79" i="1"/>
  <c r="S79" i="1"/>
  <c r="L80" i="1"/>
  <c r="J80" i="1"/>
  <c r="K80" i="1"/>
  <c r="M80" i="1"/>
  <c r="P80" i="1"/>
  <c r="Q80" i="1"/>
  <c r="R80" i="1"/>
  <c r="S80" i="1"/>
  <c r="N80" i="1"/>
  <c r="O80" i="1"/>
  <c r="L18" i="6"/>
  <c r="G18" i="6"/>
  <c r="F18" i="6"/>
  <c r="I18" i="6"/>
  <c r="J18" i="6"/>
  <c r="P18" i="6"/>
  <c r="E16" i="8"/>
  <c r="F16" i="8"/>
  <c r="G16" i="8"/>
  <c r="S75" i="1"/>
  <c r="Q75" i="1"/>
  <c r="O75" i="1"/>
  <c r="M75" i="1"/>
  <c r="K75" i="1"/>
  <c r="O18" i="6"/>
  <c r="M18" i="6"/>
  <c r="I80" i="1"/>
  <c r="H60" i="13"/>
  <c r="H61" i="13"/>
  <c r="H62" i="13"/>
  <c r="H63" i="13"/>
  <c r="H59" i="13"/>
  <c r="I61" i="1"/>
  <c r="I81" i="1"/>
  <c r="H61" i="1"/>
  <c r="E15" i="6"/>
  <c r="E21" i="6"/>
  <c r="E22" i="6"/>
  <c r="U22" i="6"/>
  <c r="V22" i="6"/>
  <c r="W22" i="6"/>
  <c r="G15" i="6"/>
  <c r="F15" i="6"/>
  <c r="R15" i="6"/>
  <c r="N15" i="6"/>
  <c r="O15" i="6"/>
  <c r="O21" i="6"/>
  <c r="O22" i="6"/>
  <c r="M15" i="6"/>
  <c r="M21" i="6"/>
  <c r="M22" i="6"/>
  <c r="L15" i="6"/>
  <c r="L22" i="6"/>
  <c r="G21" i="6"/>
  <c r="G22" i="6"/>
  <c r="F21" i="6"/>
  <c r="F22" i="6"/>
  <c r="L67" i="1"/>
  <c r="J67" i="1"/>
  <c r="K67" i="1"/>
  <c r="K61" i="1"/>
  <c r="K81" i="1"/>
  <c r="M67" i="1"/>
  <c r="M61" i="1"/>
  <c r="M81" i="1"/>
  <c r="N67" i="1"/>
  <c r="O67" i="1"/>
  <c r="O61" i="1"/>
  <c r="O81" i="1"/>
  <c r="P67" i="1"/>
  <c r="Q67" i="1"/>
  <c r="Q61" i="1"/>
  <c r="Q81" i="1"/>
  <c r="R67" i="1"/>
  <c r="S67" i="1"/>
  <c r="S61" i="1"/>
  <c r="S81" i="1"/>
  <c r="E13" i="8"/>
  <c r="E18" i="8"/>
  <c r="F13" i="8"/>
  <c r="F18" i="8"/>
  <c r="G18" i="8"/>
  <c r="N22" i="6"/>
  <c r="P22" i="6"/>
  <c r="I15" i="6"/>
  <c r="I21" i="6"/>
  <c r="I22" i="6"/>
  <c r="J22" i="6"/>
  <c r="P21" i="6"/>
  <c r="J21" i="6"/>
  <c r="D7" i="5"/>
  <c r="D8" i="5"/>
  <c r="F7" i="5"/>
  <c r="F8" i="5"/>
  <c r="H7" i="5"/>
  <c r="H8" i="5"/>
  <c r="J7" i="5"/>
  <c r="J8" i="5"/>
  <c r="L7" i="5"/>
  <c r="L8" i="5"/>
  <c r="N7" i="5"/>
  <c r="N8" i="5"/>
  <c r="P7" i="5"/>
  <c r="P8" i="5"/>
  <c r="R8" i="5"/>
  <c r="E7" i="5"/>
  <c r="E8" i="5"/>
  <c r="G7" i="5"/>
  <c r="G8" i="5"/>
  <c r="I7" i="5"/>
  <c r="I8" i="5"/>
  <c r="K7" i="5"/>
  <c r="K8" i="5"/>
  <c r="M7" i="5"/>
  <c r="M8" i="5"/>
  <c r="O7" i="5"/>
  <c r="O8" i="5"/>
  <c r="Q7" i="5"/>
  <c r="Q8" i="5"/>
  <c r="S8" i="5"/>
  <c r="U8" i="5"/>
  <c r="R7" i="5"/>
  <c r="S7" i="5"/>
  <c r="U7" i="5"/>
  <c r="I83" i="1"/>
  <c r="J15" i="6"/>
  <c r="P15" i="6"/>
  <c r="G13" i="8"/>
  <c r="H81" i="1"/>
  <c r="L61" i="1"/>
  <c r="L81" i="1"/>
  <c r="P61" i="1"/>
  <c r="P81" i="1"/>
  <c r="R61" i="1"/>
  <c r="R81" i="1"/>
  <c r="J61" i="1"/>
  <c r="J81" i="1"/>
  <c r="N61" i="1"/>
  <c r="N81" i="1"/>
  <c r="G58" i="13"/>
  <c r="G78" i="13"/>
  <c r="I78" i="13"/>
  <c r="G80" i="13"/>
  <c r="G84" i="13"/>
  <c r="I58" i="13"/>
  <c r="L58" i="13"/>
  <c r="I80" i="13"/>
  <c r="J65" i="13"/>
  <c r="I84" i="13"/>
  <c r="J74" i="13"/>
  <c r="J75" i="13"/>
  <c r="J76" i="13"/>
  <c r="J68" i="13"/>
  <c r="J69" i="13"/>
  <c r="J70" i="13"/>
  <c r="J71" i="13"/>
  <c r="J67" i="13"/>
  <c r="J66" i="13"/>
  <c r="J60" i="13"/>
  <c r="J61" i="13"/>
  <c r="J62" i="13"/>
  <c r="J63" i="13"/>
  <c r="I64" i="13"/>
  <c r="J64" i="13"/>
  <c r="J59" i="13"/>
  <c r="J58" i="13"/>
  <c r="J73" i="13"/>
  <c r="J72" i="13"/>
  <c r="J80" i="13"/>
  <c r="H64" i="13"/>
  <c r="H58" i="13"/>
  <c r="H80" i="13"/>
  <c r="J78" i="13"/>
  <c r="H78" i="13"/>
</calcChain>
</file>

<file path=xl/sharedStrings.xml><?xml version="1.0" encoding="utf-8"?>
<sst xmlns="http://schemas.openxmlformats.org/spreadsheetml/2006/main" count="657" uniqueCount="423">
  <si>
    <t xml:space="preserve">Allocazione delle risorse comunitarie per Fondo, Obiettivo tematico </t>
  </si>
  <si>
    <t>%</t>
  </si>
  <si>
    <t>OBIETTIVO TEMATICO 1 ‐ RAFFORZARE LA RICERCA, LO SVILUPPO TECNOLOGICO E L'INNOVAZIONE</t>
  </si>
  <si>
    <t>RA 1.1 - Incremento dell’attività di innovazione delle imprese</t>
  </si>
  <si>
    <t>OBIETTIVO TEMATICO 2 ‐ MIGLIORARE L'ACCESSO ALLE TECNOLOGIE DELL'INFORMAZIONE E DELLA COMUNICAZIONE, NONCHÉ L'IMPIEGO E LA QUALITÀ DELLE MEDESIME</t>
  </si>
  <si>
    <t>RA 2.1 - Riduzione dei divari digitali nei territori e diffusione di connettività in banda larga e ultra larga ("Digital Agenda" europea)</t>
  </si>
  <si>
    <t>RA 2.3 - Potenziamento della domanda di ICT di cittadini e imprese in termini di utilizzo dei servizi online, inclusione digitale e partecipazione in rete</t>
  </si>
  <si>
    <t>RA 3.1 - Rilancio della propensione agli investimenti del sistema produttivo</t>
  </si>
  <si>
    <t>RA 3.2 - Sviluppo occupazionale e produttivo in aree territoriali colpite da crisi diffusa delle attività produttive</t>
  </si>
  <si>
    <t>RA 3.3 - Consolidamento, modernizzazione e diversificazione dei sistemi produttivi territoriali</t>
  </si>
  <si>
    <t>RA 3.4 - Incremento del livello di internazionalizzazione dei sistemi produttivi</t>
  </si>
  <si>
    <t>RA 3.5 - Nascita e Consolidamento delle Micro, Piccole e Medie Imprese</t>
  </si>
  <si>
    <t>RA 3.6 - Miglioramento dell’accesso al credito , del finanziamento delle imprese e della gestione del rischio in agricoltura</t>
  </si>
  <si>
    <t>RA 3.7 - Diffusione e rafforzamento delle attività economiche a contenuto sociale</t>
  </si>
  <si>
    <t>RA 3.8 - Rafforzamento della competitività e della redditività della pesca e dell’acquacoltura</t>
  </si>
  <si>
    <t>OBIETTIVO TEMATICO 4 ‐ SOSTENERE LA TRANSIZIONE VERSO UN’ECONOMIA A BASSE EMISSIONI DI CARBONIO IN TUTTI I SETTORI</t>
  </si>
  <si>
    <t>RA 4.1 - Riduzione dei consumi energetici negli edifici e nelle strutture pubbliche o ad uso pubblico, residenziali e non residenziali e integrazione di fonti rinnovabili</t>
  </si>
  <si>
    <t>RA 4.2 - Riduzione dei consumi energetici e delle emissioni nelle imprese e integrazione di fonti rinnovabili</t>
  </si>
  <si>
    <t>RA 4.3  - Incremento della quota di fabbisogno energetico coperto da generazione distribuita sviluppando e realizzando sistemi di distribuzione intelligenti</t>
  </si>
  <si>
    <t>RA 4.4 - Incremento della quota di fabbisogno energetico coperto da cogenerazione e trigenerazione di energia</t>
  </si>
  <si>
    <t>RA 4.5 - Aumento dello sfruttamento sostenibile delle bioenergie</t>
  </si>
  <si>
    <t>RA 4.6 - Aumento della mobilità sostenibile nelle aree urbane</t>
  </si>
  <si>
    <t>OBIETTIVO TEMATICO 5 ‐ PROMUOVERE L’ADATTAMENTO AL CAMBIAMENTO CLIMATICO, LA PREVENZIONE E LA GESTIONE DEI RISCHI</t>
  </si>
  <si>
    <t>RA 5.1 - Riduzione del rischio idrogeologico e di erosione costiera</t>
  </si>
  <si>
    <t>RA 5.2 - Riduzione del rischio di desertificazione</t>
  </si>
  <si>
    <t>RA 5.3 - Riduzione del rischio incendi e il rischio sismico</t>
  </si>
  <si>
    <t>OBIETTIVO TEMATICO 6 ‐ TUTELARE L'AMBIENTE E PROMUOVERE L'USO EFFICIENTE DELLE RISORSE</t>
  </si>
  <si>
    <t>RA 6.1 - Ottimizzazione della gestione dei rifiuti urbani secondo la gerarchia comunitaria</t>
  </si>
  <si>
    <t>RA 6.2 - Restituzione all'uso produttivo di aree inquinate</t>
  </si>
  <si>
    <t>RA 6.3 - Miglioramento del servizio idrico integrato per usi civili e riduzione delle perdite di rete di acquedotto</t>
  </si>
  <si>
    <t>RA 6.4 - Mantenimento e miglioramento della qualità dei corpi idrici</t>
  </si>
  <si>
    <t>RA 6.5 - Contribuire ad arrestare la perdita di biodiversità terrestre e marina, anche legata al paesaggio rurale e mantenendo e ripristinando i servizi ecosistemici</t>
  </si>
  <si>
    <t>RA 6.6 - Miglioramento delle condizioni e degli standard di offerta e fruizione del patrimonio nelle aree di attrazione naturale</t>
  </si>
  <si>
    <t>RA 6.7 - Miglioramento delle condizioni e degli standard di offerta e fruizione del patrimonio culturale, nelle aree di attrazione</t>
  </si>
  <si>
    <t>RA 6.8 - Riposizionamento competitivo delle destinazioni turistiche</t>
  </si>
  <si>
    <t>OBIETTIVO TEMATICO 7 ‐ PROMUOVERE SISTEMI DI TRASPORTO SOSTENIBILI ED ELIMINARE LE STROZZATURE NELLE PRINCIPALI INFRASTRUTTURE DI RETE</t>
  </si>
  <si>
    <t>RA 7.5 - Ottimizzazione del traffico aereo</t>
  </si>
  <si>
    <t>OBIETTIVO TEMATICO 8 ‐ PROMUOVERE UN’OCCUPAZIONE SOSTENIBILE E DI QUALITA’ E SOSTENERE LA MOBILITA’ DEI LAVORATORI</t>
  </si>
  <si>
    <t>RA 8.4 - Accrescere l'occupazione degli immigrati</t>
  </si>
  <si>
    <t>OBIETTIVO TEMATICO 9 ‐ PROMUOVERE L’INCLUSIONE SOCIALE, COMBATTERE LA POVERTÀ E OGNI FORMA DI DISCRIMINAZIONE</t>
  </si>
  <si>
    <t>RA 9.1 - Riduzione della povertà, dell'esclusione sociale e promozione dell'innovazione sociale</t>
  </si>
  <si>
    <t>RA 9.3 - Aumento/consolidamento/qualificazione dei servizi di cura socio-educativi rivolti ai bambini e dei servizi di cura rivolti a persone con limitazioni dell'autonomia e potenziamento della rete infrastrutturale e dell'offerta di servizi sanitari e sociosanitari territoriali</t>
  </si>
  <si>
    <t>RA 9.4 - Riduzione del numero di famiglie con particolari fragilità sociali ed economiche in condizioni di disagio abitativo</t>
  </si>
  <si>
    <t>RA 9.5 - Riduzione della marginalità estrema e interventi di inclusione a favore delle persone senza dimora e delle popolazioni Rom, Sinti e Camminanti in coerenza con la strategia nazionale di inclusione</t>
  </si>
  <si>
    <t>RA 9.6 - Aumento della legalità nelle aree ad alta esclusione sociale e miglioramento del tessuto urbano nelle aree a basso tasso di legalità</t>
  </si>
  <si>
    <t>OBIETTIVO TEMATICO 10 – INVESTIRE NELL’ISTRUZIONE, NELLA FORMAZIONE E NELLA FORMAZIONE PROFESSIONALE PER LE COMPETENZE E L’APPRENDIMENTO PERMANENTE</t>
  </si>
  <si>
    <t>RA 10.1 Riduzione del fallimento formativo precoce e della dispersione scolastica e formativa</t>
  </si>
  <si>
    <t>RA 10.5 Innalzamento dei livelli di competenze, di partecipazione e di successo formativo nell’istruzione
universitaria e/o equivalente</t>
  </si>
  <si>
    <t>RA 10.6 Qualificazione dell’offerta di istruzione e formazione tecnica e professionale</t>
  </si>
  <si>
    <t>RA 10.7 Aumento della propensione dei giovani a permanere nei contesti formativi e miglioramento della sicurezza e della fruibilità degli ambienti scolastici</t>
  </si>
  <si>
    <t xml:space="preserve">RA 10.8 Diffusione della società della conoscenza nel mondo della scuola e della formazione e adozione di approcci didattici innovativi </t>
  </si>
  <si>
    <t>OBIETTIVO TEMATICO 11 ‐ RAFFORZARE LA CAPACITÀ ISTITUZIONALE DELLE AUTORITÀ PUBBLICHE E DELLE PARTI INTERESSATE E UN’AMMINISTRAZIONE PUBBLICA EFFICIENTE</t>
  </si>
  <si>
    <t>RA 11.1 Aumento della trasparenza e interoperabilità, e dell’accesso ai dati pubblici</t>
  </si>
  <si>
    <t>RA 11.3 Miglioramento delle prestazioni della Pubblica Amministrazione</t>
  </si>
  <si>
    <t>RA 11.4 Miglioramento dell’efficienza e della qualità delle prestazioni del sistema giudiziario</t>
  </si>
  <si>
    <t>RA 11.5 Aumento dei livelli di integrità e di legalità nell’azione della Pubblica Amministrazione, anche per il contrasto al lavoro sommerso</t>
  </si>
  <si>
    <t>RA 11.6 Miglioramento della governance multilivello e delle capacità degli organismi coinvolti nell’attuazione e gestione dei programmi operativi</t>
  </si>
  <si>
    <t>ASSISTENZA TECNICA</t>
  </si>
  <si>
    <t>TOTALE</t>
  </si>
  <si>
    <t>Totale</t>
  </si>
  <si>
    <t>€</t>
  </si>
  <si>
    <t>Quota nazionale</t>
  </si>
  <si>
    <t>Risorse totali</t>
  </si>
  <si>
    <t>Piano finanziario del POR FESR - FSE Calabria 2014-2020 con ipotesi di cofinanziamento al 25%.</t>
  </si>
  <si>
    <t>PARTE FESR</t>
  </si>
  <si>
    <t>PARTE FSE</t>
  </si>
  <si>
    <t>Risorse totali (FESR+QN)</t>
  </si>
  <si>
    <t>Risorse Comunitarie (FESR)</t>
  </si>
  <si>
    <t>Risorse totali (FSE+QN)</t>
  </si>
  <si>
    <t>Risorse comunitarie (FESR+FSE)</t>
  </si>
  <si>
    <t>FESR</t>
  </si>
  <si>
    <t>FSE</t>
  </si>
  <si>
    <t>Tabella 17 - Dotazione finanziaria a titolo di ciascun fondo e importi della riserva di efficacia dell'attuazione</t>
  </si>
  <si>
    <t>Fondo</t>
  </si>
  <si>
    <t>Categoria di regioni</t>
  </si>
  <si>
    <t>Dotazione principale[1]</t>
  </si>
  <si>
    <t xml:space="preserve">Riserva di efficacia dell'attuazione </t>
  </si>
  <si>
    <t xml:space="preserve">Dotazione principale </t>
  </si>
  <si>
    <t>Nelle regioni meno sviluppate</t>
  </si>
  <si>
    <t>FSE[2]</t>
  </si>
  <si>
    <t xml:space="preserve">Nelle regioni meno sviluppate </t>
  </si>
  <si>
    <t xml:space="preserve">Totale </t>
  </si>
  <si>
    <t>[1]</t>
  </si>
  <si>
    <t>Dotazione totale (sostegno dell'Unione) meno quanto assegnato alla riserva di efficacia dell'attuazione.</t>
  </si>
  <si>
    <t>[2]</t>
  </si>
  <si>
    <t>Dotazione totale a carico del FSE compreso il sostegno integrativo del FSE per l'IOG. Le colonne relative alla riserva di efficacia dell'attuazione non comprendono il sostegno integrativo del FSE per l'IOG, in quanto questo è escluso dalla riserva di efficacia dell'attuazione.</t>
  </si>
  <si>
    <t>Accordo di partenariato</t>
  </si>
  <si>
    <t>PO Calabria FESR</t>
  </si>
  <si>
    <t>PO Calabria FSE</t>
  </si>
  <si>
    <t>Tabella 18 a: Piano di finanziamento</t>
  </si>
  <si>
    <t>Asse prioritario</t>
  </si>
  <si>
    <t xml:space="preserve">Categoria di regioni </t>
  </si>
  <si>
    <t>Base di calcolo del sostegno dell'Unione</t>
  </si>
  <si>
    <t>Sostegno dell'Unione</t>
  </si>
  <si>
    <t>Contropartita nazionale</t>
  </si>
  <si>
    <t>Ripartizione indicativa della contropartita nazionale</t>
  </si>
  <si>
    <t>Finanziamento totale</t>
  </si>
  <si>
    <t>Tasso di cofinanziamento</t>
  </si>
  <si>
    <t>Per informazione</t>
  </si>
  <si>
    <t>Dotazione principale (finanziamento totale meno riserva di efficacia dell'attuazione)</t>
  </si>
  <si>
    <t>Riserva di efficacia dell'attuazione</t>
  </si>
  <si>
    <t xml:space="preserve">Importo della riserva di efficacia dell'attuazione come proporzione del sostegno dell'Unione </t>
  </si>
  <si>
    <t>(Costo totale ammissibile o spesa pubblica ammissibile)</t>
  </si>
  <si>
    <t>Finanziamento pubblico nazionale</t>
  </si>
  <si>
    <t xml:space="preserve">Finanziamento nazionale privato (1) </t>
  </si>
  <si>
    <t>Contributo BEI</t>
  </si>
  <si>
    <t>Contropartita nazionale[1]</t>
  </si>
  <si>
    <t>(a)</t>
  </si>
  <si>
    <t>(b) = (c) + (d))</t>
  </si>
  <si>
    <t>(c)</t>
  </si>
  <si>
    <t>(d)</t>
  </si>
  <si>
    <t>(e) = (a) + (b)</t>
  </si>
  <si>
    <t>(g)</t>
  </si>
  <si>
    <t>(h)=(a)-(j)</t>
  </si>
  <si>
    <t>(i) = (b) – (k)</t>
  </si>
  <si>
    <t>(j)</t>
  </si>
  <si>
    <t>(k)= (b) * ((j)/(a))</t>
  </si>
  <si>
    <t>(l) =(j)/(a) *100</t>
  </si>
  <si>
    <t>Asse Prioritario 1 - Promozione della Ricerca e dell'innovazione</t>
  </si>
  <si>
    <t>Meno sviluppate</t>
  </si>
  <si>
    <t>Spesa pubblica ammissibile</t>
  </si>
  <si>
    <t>Asse Prioritario 2 – Sviluppo dell’Agenda digitale</t>
  </si>
  <si>
    <t>Asse Prioritario 3 – Competitività dei sistemi produttivi</t>
  </si>
  <si>
    <t>Asse Prioritario 4 – Efficienza energetica</t>
  </si>
  <si>
    <t>Asse Prioritario 5 - Prevenzione dei rischi</t>
  </si>
  <si>
    <t>Asse Prioritario 6 – Tutela e valorizzazione del patrimonio ambientale e culturale</t>
  </si>
  <si>
    <t>Asse Prioritario 7 – Sviluppo delle reti di mobilità sostenibile</t>
  </si>
  <si>
    <t>Asse Prioritario 8 – Promozione dell’occupazione sostenibile e di qualità</t>
  </si>
  <si>
    <t>FSE[4]</t>
  </si>
  <si>
    <t>Totale generale</t>
  </si>
  <si>
    <t>La contropartita nazionale è suddivisa in proporzione tra la dotazione principale e la riserva di efficacia dell'attuazione.</t>
  </si>
  <si>
    <t>Questo asse prioritario comprende la dotazione specifica IOG e il sostegno integrativo del FSE.</t>
  </si>
  <si>
    <t>[3]</t>
  </si>
  <si>
    <t>Questa parte di asse prioritario comprende la dotazione specifica IOG e il sostegno integrativo del FSE.</t>
  </si>
  <si>
    <t>[4]</t>
  </si>
  <si>
    <t>Dotazione del FSE senza il sostegno integrativo all'IOG.</t>
  </si>
  <si>
    <t>[5]</t>
  </si>
  <si>
    <t>La somma del sostegno totale FSE nelle regioni meno sviluppate, in transizione e più sviluppate e delle risorse destinate all'IOG nella tabella 18a è pari alla somma del sostegno totale del FSE in tali regioni e della dotazione specifica all'IOG nella tabella 17.</t>
  </si>
  <si>
    <t>[6]</t>
  </si>
  <si>
    <t>[7]</t>
  </si>
  <si>
    <t>[8]</t>
  </si>
  <si>
    <t>Comprende la dotazione speciale all'IOG e il sostegno integrativo del FSE.</t>
  </si>
  <si>
    <t>Fondo[1]</t>
  </si>
  <si>
    <t>Tabella 18c:</t>
  </si>
  <si>
    <t xml:space="preserve">Ripartizione del piano di finanziamento per asse prioritario, fondo, categoria di regioni e obiettivo tematico </t>
  </si>
  <si>
    <t>Obiettivo tematico</t>
  </si>
  <si>
    <t>Obiettivo tematico 1 ‐ Rafforzare la ricerca, lo sviluppo tecnologico e l'innovazione</t>
  </si>
  <si>
    <t>Obiettivo tematico 2 ‐ Migliorare l'accesso alle tecnologie dell'informazione e della comunicazione, nonché l'impiego e la qualità delle medesime</t>
  </si>
  <si>
    <t xml:space="preserve">Obiettivo tematico 3 ‐ Promuovere la competitività delle piccole e medie imprese, il settore agricolo e il settore della pesca e dell’acquacoltura </t>
  </si>
  <si>
    <t>Obiettivo tematico 4 ‐ Sostenere la transizione verso un’economia a basse emissioni di carbonio in tutti i settori</t>
  </si>
  <si>
    <t>Obiettivo tematico 5 ‐ Promuovere l’adattamento al cambiamento climatico, la prevenzione e la gestione dei rischi</t>
  </si>
  <si>
    <t>Obiettivo tematico 6 ‐ Tutelare l'ambiente e promuovere l'uso efficiente delle risorse</t>
  </si>
  <si>
    <t>Obiettivo tematico 7 ‐ Promuovere sistemi di trasporto sostenibili ed eliminare le strozzature nelle principali infrastrutture di rete</t>
  </si>
  <si>
    <t>Obiettivo tematico 8 ‐ Promuovere un’occupazione sostenibile e di qualita’ e sostenere la mobilita’ dei lavoratori</t>
  </si>
  <si>
    <t>Obiettivo tematico 9 ‐ Promuovere l’inclusione sociale, combattere la povertà e ogni forma di discriminazione</t>
  </si>
  <si>
    <t>Obiettivo tematico 10 – Investire nell’istruzione, nella formazione e nella formazione professionale per le competenze e l’apprendimento permanente</t>
  </si>
  <si>
    <t>Obiettivo tematico 11 ‐ Rafforzare la capacità istituzionale delle autorità pubbliche e delle parti interessate e un’amministrazione pubblica efficiente</t>
  </si>
  <si>
    <t>Ai fini di questa tabella l'IOG (dotazione specifica e sostegno integrativo del FSE) è considerata un fondo.</t>
  </si>
  <si>
    <t xml:space="preserve">OBIETTIVO TEMATICO 3 ‐ PROMUOVERE LA COMPETITIVITÀ DELLE PICCOLE E MEDIE IMPRESE, IL SETTORE AGRICOLO E IL SETTORE DELLA PESCA E DELL’ACQUACOLTURA </t>
  </si>
  <si>
    <r>
      <t xml:space="preserve">(f)  = (a)/(e) </t>
    </r>
    <r>
      <rPr>
        <b/>
        <i/>
        <u/>
        <sz val="10"/>
        <color theme="1"/>
        <rFont val="Calibri"/>
        <scheme val="minor"/>
      </rPr>
      <t xml:space="preserve"> (2)</t>
    </r>
  </si>
  <si>
    <t>SUB - TOTALE</t>
  </si>
  <si>
    <t>RA 2.2 - Digitalizzazione dei processi amministrativi e diffusione di servizi digitali pienamente interoperabili</t>
  </si>
  <si>
    <t>RA 8.1 - Aumentare l'occupazione dei giovani</t>
  </si>
  <si>
    <t>RA 8.2 - Aumentare l'occupazione femminile</t>
  </si>
  <si>
    <t>RA 8.6 - Favorire la permanenza al lavoro e la ricollocazione dei lavoratori coinvolti in situazioni di crisi</t>
  </si>
  <si>
    <t xml:space="preserve">RA 7.2 -Miglioramento della competitività del sistema portuale e interportuale </t>
  </si>
  <si>
    <t>RA 7.3 - Miglioramento  della mobilità regionale, integrazione modale e miglioramento dei collegamenti multimodali</t>
  </si>
  <si>
    <t>RA 7.4 - Rafforzamento delle connessioni dei nodi secondari e terziari alla rete TEN-T</t>
  </si>
  <si>
    <t>RA 7.1- Potenziamento della modalità ferroviaria a livello nazionale e miglioramento del servizio in termini di qualità e tempi di percorrenza</t>
  </si>
  <si>
    <t xml:space="preserve">RA 1.2 - Rafforzamento del sistema innovativo regionale e nazionale </t>
  </si>
  <si>
    <t>RA 1.3 Promozione di nuovi mercati per l’innovazione</t>
  </si>
  <si>
    <t>RA 1.4 Aumento dell’incidenza di specializzazioni innovative in perimetri applicativi ad alta intensità di conoscenza</t>
  </si>
  <si>
    <t>RA 1.5 Potenziamento della capacità di sviluppare l’eccellenza nella R&amp;I</t>
  </si>
  <si>
    <t xml:space="preserve">RA 8.3 - Aumentare l’occupazione dei lavoratori anziani e favorire l’invecchiamento attivo </t>
  </si>
  <si>
    <t>RA 8.5 - Favorirel'inserimento lavorativo e l'occupazione dei disoccupati di lunga durata, dei soggetti con maggiore difficoltà di inserimento e il sostegno delle persone a rischio di disoccupazione di lunga durata</t>
  </si>
  <si>
    <t>RA 8.7 - Migliorare l'efficacia e la qualità dei servizi al lavoro</t>
  </si>
  <si>
    <t>RA 9.2 - Incremento dell'occupabilità e della partecipazione al mercato del lavoro delle persone maggiormente vulnerabili</t>
  </si>
  <si>
    <t>RA 9.7 - Rafforzamento dell'economia sociale</t>
  </si>
  <si>
    <t>Asse Prioritario 9 – Inclusione sociale (FESR)</t>
  </si>
  <si>
    <t>Asse Prioritario 10  – Inclusione sociale (FSE)</t>
  </si>
  <si>
    <t>Asse Prioritario 11 – Istruzione e formazione (FESR)</t>
  </si>
  <si>
    <t>Asse Prioritario 12 – Istruzione e formazione (FSE)</t>
  </si>
  <si>
    <t>Asse Prioritario 13 – Capacità istituzionale</t>
  </si>
  <si>
    <t>Asse Prioritario 14 -  Assistenza Tecnica</t>
  </si>
  <si>
    <t>importo max per AT</t>
  </si>
  <si>
    <t>Piano finanziario del POR FESR - FSE Calabria 2014-2020 - parte FESR</t>
  </si>
  <si>
    <t>TOT. (FESR+QN)</t>
  </si>
  <si>
    <t>Allocazione delle risorse comunitarie per Asse, Priorità, Obiettivo specifico e Azione</t>
  </si>
  <si>
    <t>Asse Prioritario</t>
  </si>
  <si>
    <t>Priorità d'investimento</t>
  </si>
  <si>
    <t>Obiettivo Specifico</t>
  </si>
  <si>
    <t>Denominazione</t>
  </si>
  <si>
    <t>Euro</t>
  </si>
  <si>
    <t>1.5 - Potenziamento della capacità di sviluppare l’eccellenza nella R&amp;I</t>
  </si>
  <si>
    <t>1.5.1 Sostegno alle infrastrutture della ricerca considerate critiche/cruciali per i sistemi regionali [Il finanziamento alle infrastrutture di ricerca è condizionato alla realizzazione di piani industriali di sviluppo che ne evidenzino la capacità prospettica di autosostenersi]</t>
  </si>
  <si>
    <t>1.b - Promuovere gli investimenti delle imprese in R&amp;I sviluppando collegamenti e sinergie tra imprese, centri di ricerca e sviluppo e il settore dell'istruzione superiore, in particolare promuovendo gli investimenti nello sviluppo di prodotti e servizi, il trasferimento di tecnologie, l'innovazione sociale, l'ecoinnovazione, le applicazioni nei servizi pubblici, la stimolo della domanda, le reti, i cluster e l'innovazione aperta attraverso la specializzazione intelligente, nonché sostenere la ricerca tecnologica e applicata, le linee pilota, le azioni di validazione precoce dei prodotti, le capacità di fabbricazione avanzate e la prima produzione, soprattutto in tecnologie chiave abilitanti, e la diffusione di tecnologie con finalità generali</t>
  </si>
  <si>
    <t>1.1 Incremento dell’attività di innovazione delle imprese</t>
  </si>
  <si>
    <t>1.1.2 Sostegno per l’acquisto di servizi per l’innovazione tecnologica, strategica, organizzativa e commerciale delle imprese [l’azione si attua preferibilmente attraverso voucher , che raggiungano un elevato numero di imprese anche grazie ai bassi oneri amministrativi che impongono e ha come target preferenziale le imprese di modesta dimensione]</t>
  </si>
  <si>
    <t>1.1.5 Sostegno all’avanzamento tecnologico delle imprese attraverso il finanziamento di linee pilota e azioni di validazione precoce dei prodotti e di dimostrazione su larga scala</t>
  </si>
  <si>
    <t>1.2 Rafforzamento del sistema innovativo regionale e nazionale</t>
  </si>
  <si>
    <t>1.2.2 Supporto alla realizzazione di progetti complessi di attività di ricerca e sviluppo su poche aree tematiche di rilievo e all’applicazione di soluzioni tecnologiche funzionali alla realizzazione delle strategie di S3  [da realizzarsi  anche attraverso la valorizzazione dei partenariati pubblico-privati esistenti, come i Distretti Tecnologici, i Laboratori Pubblico-Privati e i Poli di Innovazione]</t>
  </si>
  <si>
    <t xml:space="preserve">1.3 Promozione di nuovi mercati per l’innovazione </t>
  </si>
  <si>
    <t>1.3.1 Rafforzamento e qualificazione della domanda di innovazione della PA attravero il sostegno ad azioni di Precommercial Public Procurement e di Procurement dell'innovazione</t>
  </si>
  <si>
    <t>1.3.2 Sostegno alla generazione di soluzioni innovative a specifici problemi di rilevanza sociale, anche attraverso l'utilizzo di ambienti di innovazione aperta come i Living Labs</t>
  </si>
  <si>
    <t>1.3.3 Interventi a supporto delle imprese operanti nel settore dei servizi ad alta intensità di conoscenza e ad alto valore aggiunto</t>
  </si>
  <si>
    <t>1.4 Aumento dell’incidenza di specializzazioni innovative in perimetri applicativi ad alta intensità di conoscenza</t>
  </si>
  <si>
    <t>1.4.1  Sostegno alla creazione e al consolidamento di start-up innovative ad alta intensità di applicazione di conoscenza e alle iniziative di spin-off della ricerca in ambiti in linea con le Strategie di specializzazione intelligente</t>
  </si>
  <si>
    <t>2.a) Estendere la diffusione della banda larga e il lancio delle reti ad alta velocità e sostenere l’adozione di reti e tecnologie emergenti in materia di economia digitale</t>
  </si>
  <si>
    <t xml:space="preserve">2.1.1. Contributo all’attuazione del “Progetto strategico Agenda Digitale per la banda ultra larga” e di altri interventi programmati per assicurare nei territori una capacità di connessione ad almeno 30 Mbps, accelerandone l’attuazione nelle aree produttive, nelle aree rurali e interne, rispettando il principio di neutralità tecnologica nelle aree consentite dalla normativa comunitaria  </t>
  </si>
  <si>
    <t>2.b. Sviluppare i prodotti e i servizi delle TIC, il commercio elettronico e la domanda di TIC</t>
  </si>
  <si>
    <t>2.3 Potenziamento della domanda di ICT di cittadini e imprese in termini di utilizzo dei servizi online, inclusione digitale e partecipazione in rete</t>
  </si>
  <si>
    <t>2.3.1. Soluzioni tecnologiche per l’alfabetizzazione e l’inclusione digitale, per l’acquisizione di competenze avanzate da parte delle imprese e lo sviluppo delle nuove competenze ICT (eSkills), nonché per stimolare la diffusione e l’utilizzo del web, dei servizi pubblici digitali e degli strumenti di dialogo, la collaborazione e partecipazione civica in rete (open government) con particolare riferimento ai cittadini svantaggiati e alle aree interne e rurali. Tali soluzioni possono essere attuate anche in modo integrato con l’azione 1.3.2 (laboratori di innovazione aperta)</t>
  </si>
  <si>
    <t>2.c) Migliorare l’accesso alle TIC nonché l’impiego e la qualità delle medesime rafforzando le applicazioni per l’e-government, l’e-learning, l’e-inclusion, l’e-culture e l’e-health</t>
  </si>
  <si>
    <t xml:space="preserve">RA 2.2 Digitalizzazione dei processi amministrativi e diffusione di servizi digitali pienamente interoperabili della PA offerti a cittadini e imprese (in particolare nella sanità e nella giustizia) </t>
  </si>
  <si>
    <t>2.2.1 Soluzioni tecnologiche e la digitalizzazione per l’innovazione dei processi interni dei vari ambiti della Pubblica Amministrazione nel quadro del Sistema pubblico di connettività, riguardanti in particolare la giustizia (informatizzazione del processo civile), la sanità, il turismo, le attività e i beni culturali</t>
  </si>
  <si>
    <t xml:space="preserve">3.a Promuovere l’imprenditorialità, in particolare facilitando lo sfruttamento economico di nuove idee e promuovendo la creazione di nuove aziende, anche attraverso incubatori di imprese </t>
  </si>
  <si>
    <t>3.5 Nascita e Consolidamento delle Micro, Piccole e Medie Imprese</t>
  </si>
  <si>
    <t>3.5.1 Interventi di supporto alla nascita di nuove imprese sia attraverso incentivi diretti, sia attraverso l’offerta di servizi, sia attraverso interventi di micro-finanza</t>
  </si>
  <si>
    <t>3.5.2 Supporto a soluzioni ICT nei processi produttivi delle PMI, coerentemente con la strategia di smart specialization, con particolare riferimento a: commercio elettronico, cloud computing, manifattura digitale e sicurezza informatica.</t>
  </si>
  <si>
    <t>3.b Sviluppare e realizzare nuovi modelli di attività per le PMI, in particolare per l’internazionalizzazione</t>
  </si>
  <si>
    <t xml:space="preserve">3.3  Consolidamento, modernizzazione e diversificazione dei sistemi produttivi territoriali </t>
  </si>
  <si>
    <t>3.3.1 Sostegno al riposizionamento competitivo, alla capacità di adattamento al mercato, all’attrattività per potenziali investitori, dei sistemi imprenditoriali vitali delimitati territorialmente</t>
  </si>
  <si>
    <t>3.3.2 Supporto allo sviluppo di prodotti e servizi complementari alla valorizzazione di identificati attrattori culturali e naturali del territorio anche attraverso l’integrazione tra imprese delle filiere culturali, turistiche, creative e dello spettacolo, e delle filiere dei prodotti tradizionali e tipici</t>
  </si>
  <si>
    <t xml:space="preserve">3.3.3. Sostegno a processi di aggregazione e integrazione tra imprese (reti di imprese) per la costruzione di un prodotto integrato nelle destinazioni turistiche </t>
  </si>
  <si>
    <t>3.3.4 Sostegno alla competitività delle imprese nelle destinazioni turistiche attraverso interventi di qualificazione dell’offerta e innovazione di prodotto/servizio, strategica ed organizzativa</t>
  </si>
  <si>
    <t>3.4 Incremento del livello di internazionalizzazione dei sistemi produttivi</t>
  </si>
  <si>
    <t>3.4.1 Progetti di promozione dell’export (anche attraverso la partecipazione a Expo 2015) destinati a imprese e loro forme aggregate individuate su base territoriale o settoriale</t>
  </si>
  <si>
    <t>3.4.2 Incentivi all'acquisto di servizi per l'internazionalizzazione delle PMI</t>
  </si>
  <si>
    <t>3.c Sostenere la creazione e l’ampliamento di capacità avanzate per lo sviluppo di prodotti e servizi</t>
  </si>
  <si>
    <t>3.1 Rilancio della propensione agli investimenti del sistema produttivo</t>
  </si>
  <si>
    <t>3.1.1 Aiuti per investimenti in macchinari, impianti e beni intangibili, e accompagnamento dei processi di riorganizzazione e ristrutturazione aziendale</t>
  </si>
  <si>
    <t xml:space="preserve">3.1.2 Aiuti agli investimenti per la riduzione degli impatti ambientali dei sistemi produttivi </t>
  </si>
  <si>
    <t>3.1.3 Attrazione di investimenti in grado di assicurare una ricaduta sulle PMI a livello territoriale</t>
  </si>
  <si>
    <t>RA 3.7 Diffusione e rafforzamento delle attività economiche a contenuto sociale</t>
  </si>
  <si>
    <t>3.7.1 Sostegno all’avvio e rafforzamento di attività imprenditoriali che producono effetti socialmente desiderabili e beni pubblici [si tratta di incentivi rivolti ad un platea di imprese del privato sociale quali cooperative sociali, imprese non a scopo di lucro, selezionate in funzione dei benefici sociali che le loro attività producono, ma salvaguardando il criterio della loro sostenibilità economica]</t>
  </si>
  <si>
    <t>3.7.2 Fornitura di servizi di supporto ed accompagnamento alla nascita e consolidamento di imprese sociali [attraverso interventi di formazione, incubazione e azioni di networking collaborativo fra imprese, operatori del sociale e soggetti portatori di competenze</t>
  </si>
  <si>
    <t>3.7.3 Messa a disposizione di spazi fisici per lo svolgimento di attività imprenditoriali di interesse sociale [Azione che darà priorità per gli spazi già ristrutturati dall’amministrazione e da rendere disponibili, ovvero spazi da riqualificare con il contributo dei soggetti/associazioni coinvolti]</t>
  </si>
  <si>
    <t>3.d Sostenere la capacità delle PMI di crescere sui mercati regionali, nazionali ed internazionali e di prendere parte ai processi di innovazione</t>
  </si>
  <si>
    <t>3.6 Miglioramento dell’accesso al credito, del finanziamento delle imprese e della gestione del rischio in agricoltura</t>
  </si>
  <si>
    <t>3.6.1 Potenziamento del sistema delle garanzie pubbliche per l’espansione del credito in sinergia tra sistema nazionale e sistemi regionali di garanzia, favorendo forme di razionalizzazione che valorizzino anche il ruolo dei confidi più efficienti ed efficaci</t>
  </si>
  <si>
    <t>3.6.4 Contributo allo sviluppo del mercato dei fondi di capitale di rischio per lo start-up d’impresa nelle fasi pre-seed, seed, e early stage</t>
  </si>
  <si>
    <t>4.c  Sostenere l’efficienza energetica, la gestione intelligente dell’energia e l’uso dell’energia rinnovabile nelle infrastrutture pubbliche, compresi gli edifici pubblici e nel settore dell’edilizia abitativa</t>
  </si>
  <si>
    <t xml:space="preserve">4.1 Riduzione dei consumi energetici negli edifici e nelle strutture pubbliche o ad uso pubblico residenziali e non residenziali e integrazione di fonti rinnovabili </t>
  </si>
  <si>
    <t xml:space="preserve">4.1.1 Promozione dell’eco-efficienza e riduzione di consumi di energia primaria negli edifici e strutture pubbliche: interventi di ristrutturazione di singoli edifici o complessi di edifici, installazione di sistemi intelligenti di telecontrollo, regolazione, gestione, monitoraggio e ottimizzazione dei consumi energetici (smart buildings) e delle emissioni inquinanti anche attraverso l’utilizzo di mix tecnologici </t>
  </si>
  <si>
    <t xml:space="preserve">4.1.2 Installazione di sistemi di produzione di energia da fonte rinnovabile da destinare all'autoconsumo associati a interventi di efficientamento energetico dando priorità all’utilizzo di tecnologie ad alta efficienza </t>
  </si>
  <si>
    <t xml:space="preserve">4.1.3 Adozione di soluzioni tecnologiche per la riduzione dei consumi energetici delle reti di illuminazione pubblica, promuovendo installazioni di sistemi automatici di regolazione (sensori di luminosità, sistemi di telecontrollo e di telegestione energetica della rete) </t>
  </si>
  <si>
    <t xml:space="preserve">4.e Promuovere strategie per basse emissioni di carbonio per tutti i tipi di territorio, in particolare le aree urbane, inclusa la promozione della mobilità urbana multimodale sostenibile e di pertinenti misure di adattamento e mitigazione </t>
  </si>
  <si>
    <t>4.6.1 Realizzazione di infrastrutture e nodi di interscambio finalizzati all’incremento della mobilità collettiva e alla distribuzione ecocompatibile delle merci e relativi sistemi di trasporto</t>
  </si>
  <si>
    <t>4.6.2 Rinnovo del materiale rotabile</t>
  </si>
  <si>
    <t>5.1 Riduzione del rischio idrogeologico e di erosione costiera</t>
  </si>
  <si>
    <t>5.b) Promuovere investimenti destinati a far fronte a rischi specifici, garantendo la resilienza alle catastrofi e sviluppando sistemi di gestione delle catastrofi</t>
  </si>
  <si>
    <t>5.3 Riduzione del rischio incendi e il rischio sismico</t>
  </si>
  <si>
    <t>5.3.3 Recupero e allestimento degli edifici pubblici strategici destinati ai Centri Funzionali e operativi</t>
  </si>
  <si>
    <t>6.a) Investire nel settore dei rifiuti per rispondere agli obblighi imposti dalla normativa dell’Unione in materia ambientale e per soddisfare le esigenze, individuate dagli Stati Membri, di investimenti che vadano oltre tali obblighi</t>
  </si>
  <si>
    <t>6.1  Ottimizzazione della gestione dei rifiuti urbani secondo la gerarchia comunitaria</t>
  </si>
  <si>
    <t>6.1.1 Realizzare le azioni previste nei piani di prevenzione e promuovere la diffusione di pratiche di compostaggio domestico e di comunità</t>
  </si>
  <si>
    <t>6.1.2  Realizzare i migliori sistemi di raccolta differenziata e un’adeguata rete di centri di raccolta</t>
  </si>
  <si>
    <t>6.1.3  Rafforzare le dotazioni impiantistiche per il trattamento e per il recupero, anche di energia, ai fini della chiusura del ciclo di gestione, in base ai principi di autosufficienza, prossimità territoriale e minimizzazione degli impatti ambientali</t>
  </si>
  <si>
    <t>6.b Investire nel settore dell’acqua per rispondere agli obblighi imposti dalla normativa dell’Unione in materia ambientale e per soddisfare le esigenze, individuate dagli Stati membri, di investimenti che vadano oltre tali obblighi</t>
  </si>
  <si>
    <t>6.3 Miglioramento del servizio idrico integrato per usi civili e riduzione le perdite di rete di acquedotto</t>
  </si>
  <si>
    <t>6.3.1 Potenziare le infrastrutture di captazione, adduzione, distribuzione, fognarie e depurative per usi civili</t>
  </si>
  <si>
    <t>6.3.3 Instatllazione di sistemi di monitoraggio delle perdite di rete e di contabilizzazione dei consumi</t>
  </si>
  <si>
    <t>6.4 Mantenimento e miglioramento della qualità dei corpi idrici</t>
  </si>
  <si>
    <t>6.4.2. Integrazione e rafforzamento dei sistemi informativi di monitoraggio della risorsa idrica</t>
  </si>
  <si>
    <t>6.c Conservare, proteggere, promuovere e sviluppare il patrimonio naturale e culturale</t>
  </si>
  <si>
    <t>6.6 .Miglioramento delle condizioni e degli standard di offerta e fruizione del patrimonio nelle aree di attrazione naturale</t>
  </si>
  <si>
    <t>6.6.1 Interventi per la tutela e la valorizzazione di aree di attrazione naturale di rilevanza strategica (parchi e aree protette in ambito terrestre e marino, paesaggi tutelati) tali da consolidare e promuovere processi di sviluppo</t>
  </si>
  <si>
    <t>6.7 .Miglioramento delle condizioni e degli standard di offerta e fruizione del patrimonio culturale, materiale e immateriale, nelle aree di attrazione</t>
  </si>
  <si>
    <t>6.7.1 Interventi per la tutela, la valorizzazione e la messa in rete del patrimonio culturale, materiale e immateriale, nelle aree di attrazione di rilevanza strategica tale da consolidare e promuovere processi di sviluppo</t>
  </si>
  <si>
    <t>6.7.2 Supporto allo sviluppo di prodotti e servizi complementari alla valorizzazione di identificati attrattori culturali e naturali del territorio, anche attraverso l’integrazione tra imprese delle filiere culturali, turistiche, creative e dello spettacolo, e delle filiere dei prodotti tradizionali e tipici” (Azione 3.3.2)</t>
  </si>
  <si>
    <t>6.8 .Riposizionamento competitivo delle destinazioni turistiche</t>
  </si>
  <si>
    <t>6.8.3 Sostegno alla fruizione integrata delle risorse culturali e naturali e alla promozione delle destinazioni turistiche</t>
  </si>
  <si>
    <t>6.d) Proteggere e ripristinare la biodiversità e i suoli, e promuovere i servizi per gli ecosistemi, anche attraverso Natura 2000 e l’infrastruttura verde</t>
  </si>
  <si>
    <t xml:space="preserve">6.5 Contribuire ad arrestare la perdita di biodiversità terrestre e marina, anche legata al paesaggio rurale mantenendo e </t>
  </si>
  <si>
    <t>6.5.A.1 Azioni previste nei Prioritized Action Framework (PAF) e nei Piani di gestione della Rete Natura 2000 [le azioni sono realizzate con il concorso del FEASR – Focus Area 4.a</t>
  </si>
  <si>
    <t>7. b) Migliorare la mobilità regionale, per mezzo del collegamento dei nodi secondari e terziari all'infrastruttura della TEN-T, compresi i nodi multimodali.compresi i nodi multimodali</t>
  </si>
  <si>
    <t>7.3.1 Potenziare i servizi di trasporto pubblico regionale ed interregionale su tratte dotate di domanda potenziale significativa, anche attraverso: -  interventi infrastrutturali e tecnologici; - rinnovo del materiale rotabile; - promozione della bigliettazione elettronica integrata con le azioni dell’obiettivo tematico</t>
  </si>
  <si>
    <t>7.4.1 Rafforzare le connessioni dei nodi secondari e terziari delle “aree interne” e di quelle dove sono localizzati significativi distretti di produzione agricola e agro-industriale con i principali assi viari e ferroviari della rete TEN-T]</t>
  </si>
  <si>
    <t>7c) sviluppare e migliorare sistemi di trasporto sostenibili dal punto di vista dell'ambiente (anche a bassa rumorosità) e a bassa emissione di carbonio, inclusi vie navigabili interne e trasporti marittimi, porti, collegamenti multimodali e infrastrutture aeroportuali, al fine di favorire la mobilità regionale e locale sostenibile</t>
  </si>
  <si>
    <t>7.2.2 Potenziare infrastrutture e attrezzature portuali e interportuali di interesse regionale, ivi inclusi il loro adeguamento ai migliori standard ambientali, energetici e operativi  e il potenziamento dell’integrazione dei porti con le aree retro portuali[infrastrutture e tecnologie della rete globale/locale]</t>
  </si>
  <si>
    <t>9.a) Investire in infrastrutture sanitarie e sociali che contribuiscano allo sviluppo nazionale, regionale e locale, alla riduzione delle disparità nelle condizioni sanitarie, promuovendo l'inclusione sociale attraverso un migliore accesso ai servizi sociali, culturali e ricreativi e il passaggio dai servizi istituzionali ai servizi territoriali di comunità</t>
  </si>
  <si>
    <t>9.3.1 Finanziamento piani di investimento per Comuni associati per realizzare nuove infrastrutture o recuperare quelle esistenti (asili nido, centri ludici, servizi integrativi prima infanzia, ludoteche e centri diurni per minori, comunità socioeducative) conformi alle normative regionali di riferimento</t>
  </si>
  <si>
    <t>9.3.2 Aiuti per sostenere gli investimenti nelle strutture di servizi socio educativi per la prima infanzia [target preferenziale: imprese - anche sociali e le organizzazioni del terzo settore, di piccole dimensioni]</t>
  </si>
  <si>
    <t xml:space="preserve">9.3.5 Piani di investimento in infrastrutture per Comuni associati e aiuti per sostenere gli investimenti privati ([target preferenziale: imprese - anche sociali e le organizzazioni del terzo settore, di piccole dimensioni] nelle strutture per anziani e persone con limitazioni nell’autonomia [residenze sociosanitarie, centri diurni, co-housing o gruppi appartamento, strutture per il “dopo di noi”]. </t>
  </si>
  <si>
    <t>9.b) Sostenere la rigenerazione fisica, economica e sociale delle comunità sfavorite nelle aree urbane e rurali</t>
  </si>
  <si>
    <t xml:space="preserve"> 9.4.1 Interventi di potenziamento del patrimonio pubblico e privato esistente e di recupero di alloggi di proprietà dei Comuni e ex IACP per incrementare la disponibilità di alloggi sociali e servizi abitativi per categorie fragili per ragioni economiche e sociali. Interventi infrastrutturali finalizzati alla sperimentazione di modelli innovativi sociali e abitativi </t>
  </si>
  <si>
    <t xml:space="preserve">9.4.4 Sostegno all’adeguamento infrastrutturale per il miglioramento dell’abitare a favore di persone con disabilità e gravi limitazioni nell’autonomia </t>
  </si>
  <si>
    <t>9.5.8 Finanziamento nelle principali aree urbane e nei sistemi urbani di interventi infrastrutturali nell’ambito di progetti mirati per il potenziamento della rete dei servizi per il pronto intervento sociale per i senza dimora [sportelli dedicati per la presa in carico, alloggio sociale temporaneo per adulti in difficoltà, docce e mense, alberghi diffusi per lavoratori stagionali nelle zone rurali]</t>
  </si>
  <si>
    <t>9.6.6 Interventi di recupero funzionale e riuso di vecchi immobili in collegamento con attività di animazione sociale e partecipazione collettiva, inclusi interventi per il riuso e la rifunzionalizzazione dei beni confiscati alle mafie</t>
  </si>
  <si>
    <t>10) Investire nell'istruzione, nella formazione e nella formazione professionale per le competenze e l'apprendimento permanente (FESR)</t>
  </si>
  <si>
    <t>10.5.7 Interventi infrastrutturali per l’innovazione tecnologica e laboratori di settore e per l’ammodernamento delle sedi didattiche</t>
  </si>
  <si>
    <t>10.7 Aumento della propensione dei giovani a permanere nei contesti formativi e miglioramento della sicurezza e della fruibilità degli ambienti scolastici</t>
  </si>
  <si>
    <t>10.7.1 Interventi di riqualificazione degli edifici scolastici (efficientamento energetico, sicurezza, attrattività e innovatività, accessibilità, impianti sportivi, connettività), anche per facilitare l’accessibilità delle persone con disabilità</t>
  </si>
  <si>
    <t>10.8 Diffusione della società della conoscenza nel mondo della scuola e della formazione e adozione di approcci didattici innovativi</t>
  </si>
  <si>
    <t>10.8.1 Interventi infrastrutturali per l’innovazione tecnologica, laboratori di settore e per l’apprendimento delle competenze chiave. [Interventi per l’attuazione dell’Agenda Digitale; interventi per la realizzazione di laboratori di settore, in particolare tecnico-professionali ed artistici; interventi per l’implementazione dei laboratori dedicati all’apprendimento delle competenze chiave; sviluppo e implementazione di biblioteche ed emeroteche digitali; interventi infrastrutturali per favorire la connettività sul territorio; sviluppo di reti, cablaggio]</t>
  </si>
  <si>
    <t>10.8.5 Sviluppare piattaforme web e risorse di apprendimento on-line a supporto della didattica nei percorsi di istruzione, di formazione professionale</t>
  </si>
  <si>
    <t>Totale (B)</t>
  </si>
  <si>
    <t>TOTALE POR</t>
  </si>
  <si>
    <t>Azione</t>
  </si>
  <si>
    <t>Ctrl</t>
  </si>
  <si>
    <t>% su OS</t>
  </si>
  <si>
    <t>1.a - Potenziare l'infrastruttura per la ricerca e l'innovazione (R&amp;I) e le capacità di sviluppare l'eccellenza nella R&amp;I e promuovere centri di competenza, in particolare quelli di interesse europeo</t>
  </si>
  <si>
    <t xml:space="preserve">1.1.4 - Sostegno alle attività collaborative di R&amp;S per lo sviluppo di nuove tecnologie sostenibili, di nuovi prodotti e servizi </t>
  </si>
  <si>
    <t>1.2.1 Azioni di sistema per il sostegno alla partecipazione degli attori dei territori a piattaforme di concertazione e reti nazionali e di specializzazione tecnologica e ad altri progetti finanziati con altri programmi europei per la ricerca e l'innovazione (es. Horizon)</t>
  </si>
  <si>
    <t>2.1 Riduzione dei divari digitali nei territori e diffusione di connettività in banda larga e ultra larga coerentemente con gli obiettivi fissati al 2020 dalla "Digital Agenda" europea</t>
  </si>
  <si>
    <t>4.6 - Aumento della mobilità sostenibile nelle aree urbane</t>
  </si>
  <si>
    <t xml:space="preserve">5.1.1 Interventi di messa in sicurezza e per l’aumento della resilienza delle infrastrutture nei territori più esposti a rischio idrogeologico e di erosione costiera </t>
  </si>
  <si>
    <t>5.1.4 Integrazione e sviluppo di sistemi di prevenzione e gestione dell’emergenza, anche attraverso meccanismi e reti digitali interoperabili di allerta precoce</t>
  </si>
  <si>
    <t>7.3 - Miglioramento della mobilità regionale, integrazione modale e  miglioramento dei collegamenti multimodali</t>
  </si>
  <si>
    <t>7.4 - Rafforzamento delle connessioni dei nodi secondari e terziari alla rete TEN-T</t>
  </si>
  <si>
    <t>7.2 - Miglioramento della competitività del sistema portuale e interportuale</t>
  </si>
  <si>
    <t xml:space="preserve"> 9.3 Aumento/consolidamento/ qualificazione dei servizi di cura socio-educativi rivolti ai bambini e dei servizi di cura rivolti a persone con limitazioni dell’autonomia e potenziamento della rete infrastrutturale e dell’offerta di servizi sanitari e sociosanitari territoriali</t>
  </si>
  <si>
    <t>9.4 Riduzione del numero di famiglie con particolari fragilità sociali ed economiche in condizioni di disagio abitativo</t>
  </si>
  <si>
    <t>9.5 Riduzione della marginalità estrema e interventi di inclusione a favore delle persone senza dimora e delle popolazioni Rom, Sinti e Camminanti in coerenza con la strategia nazionale di inclusione</t>
  </si>
  <si>
    <t>9.5.6 (Strategia di inclusione dei Rom, Sinti e Camminanti)
Azioni strutturali per favorire l’accesso all’abitare non segregato [da considerare all’interno di azioni integrate che includano sostegno e facilitazione all’integrazione nella comunità più ampia dei residenti]</t>
  </si>
  <si>
    <t>9.6 - Aumento della legalità nelle aree ad alta esclusione sociale e miglioramento del tessuto urbano nelle aree a basso tasso di legalità</t>
  </si>
  <si>
    <t xml:space="preserve"> 9.6.1 Interventi per il sostegno di aziende confiscate alle mafie per salvaguardare i posti di lavoro in collegamento con azioni di aggregazione e promozione sociale ed economica</t>
  </si>
  <si>
    <t>11. Istruzione e formazione (OT10 FESR)</t>
  </si>
  <si>
    <t>10.5 Innalzamento dei livelli di competenze, di partecipazione e di successo formativo nell’istruzione universitaria e/o equivalente</t>
  </si>
  <si>
    <t>14.1.1 Programmazione, gestione, sorveglianza, monitoraggio e controllo</t>
  </si>
  <si>
    <t>14.1.2 Assistenza alle strutture impegnate nella programmazione e gestione degli interventi</t>
  </si>
  <si>
    <t>14.1.3 Valutazione e studi</t>
  </si>
  <si>
    <t>14.1.5 Informazione e comunicazione</t>
  </si>
  <si>
    <t>Totale (Fesr+QN)</t>
  </si>
  <si>
    <t>NUOVA VERSIONE del 14/7/2015</t>
  </si>
  <si>
    <t>9. Inclusione sociale (OT9 FESR)</t>
  </si>
  <si>
    <t>Risorse Comunitarie (FSE)</t>
  </si>
  <si>
    <t>Misure di promozione del "welfare aziendale" (es. nidi aziendali, prestazioni socio-sanitarie complementari) e di nuove forme di organizzazione del lavoro family friendly (es. flessibilità dell'orario di lavoro, coworking, telelavoro, etc.)</t>
  </si>
  <si>
    <t>Percorsi di sostegno (servizi di accompagnamento e/o incentivi) alla creazione d'impresa e al lavoro autonomo, ivi compreso il trasferimento d'azienda (ricambio generazionale)</t>
  </si>
  <si>
    <t>Azioni integrate di politiche attive e politiche passive, tra cui azioni di riqualificazione e di outplacement dei lavoratori coinvolti in situazioni di crisi collegate a piani di riconversione e ristrutturazione aziendale</t>
  </si>
  <si>
    <t>Percorsi di sostegno alla creazione d'impresa e al lavoro autonomo (es: management buyout, azioni di accompagnamento allo spin off rivolte ai lavoratori coinvolti in situazioni di crisi)</t>
  </si>
  <si>
    <t>Azioni di consolidamento e applicazione dei LEP e degli standard minimi, anche attraverso la costituzione di specifiche task force</t>
  </si>
  <si>
    <t>Integrazione e consolidamento della rete Eures all’interno dei servizi per il lavoro e azioni integrate per la mobilità transnazionale e nazionale</t>
  </si>
  <si>
    <t>Potenziamento del raccordo con gli altri operatori del mercato del lavoro con particolare riguardo a quelli di natura pubblica (scuole, università, camere di commercio, comuni)</t>
  </si>
  <si>
    <t>Misure di politica attiva, con particolare attenzione ai settori che offrono maggiori prospettive di crescita (ad esempio nell’ambito di: green economy, blue economy, servizi alla persona, servizi socio-sanitari, valorizzazione del patrimonio culturale e ambientale, ICT)</t>
  </si>
  <si>
    <t>Percorsi di sostegno alla creazione d'impresa e al lavoro autonomo, ivi compreso il trasferimento d'azienda (ricambio generazionale)</t>
  </si>
  <si>
    <t>Azioni di qualificazione e riqualificazione dei disoccupati di lunga durata fondate su analisi dei fabbisogni professionali e formativi presenti in sistematiche rilevazioni e/o connesse a domande espresse delle imprese</t>
  </si>
  <si>
    <t xml:space="preserve">Misure di politica attiva con particolare attenzione ai settori che offrono maggiori prospettive di crescita (ad esempio nell’ambito di: green economy, blue economy, servizi alla persona, servizi socio-sanitari, valorizzazione del patrimonio culturale, ICT) </t>
  </si>
  <si>
    <t>Percorsi di formazione per i giovani assunti con contratto di apprendistato per la qualifica e il diploma professionale, preceduti e corredati da campagne informative e servizi a supporto delle imprese</t>
  </si>
  <si>
    <t>Percorsi di apprendistato di alta formazione e ricerca e campagne informative per la promozione dello stesso tra i giovani, le istituzioni formative e le imprese e altre forme di alternanza fra alta formazione, lavoro e ricerca</t>
  </si>
  <si>
    <t>9.i)Inclusione attiva, anche per promuovere le pari opportunità e la partecipazione attiva e migliorare l’occupabilità</t>
  </si>
  <si>
    <t>9.1 Riduzione della povertà, dell’esclusione sociale e promozione dell'innovazione sociale</t>
  </si>
  <si>
    <t>9.2 Incremento dell'occupabilità e della partecipazione al mercato del lavoro delle persone maggiormente vulnerabili</t>
  </si>
  <si>
    <t>9.7 Rafforzamento dell'economia sociale</t>
  </si>
  <si>
    <t>9.iv) Migliore accesso a servizi accessibili, sostenibili e di qualità, compresi i servizi sociali e cure sanitarie d'interesse generale</t>
  </si>
  <si>
    <t>9.3 Aumento, consolidamento, qualificazione dei servizi e delle infrastrutture di cura socio-educativi rivolti ai bambini e dei servizi di cura rivolti a persone con limitazioni dell'autonomia e potenziamento della rete infrastrutturale e dell'offerta di servizi sanitari e sociosanitari territoriali</t>
  </si>
  <si>
    <t xml:space="preserve">9.3.3 - Implementazione di buoni servizio </t>
  </si>
  <si>
    <t>9.3.4 - Sostegno a forme di erogazione e fruizione flessibile dei servizi per la prima infanzia, tra i quali nidi familiari, spazi gioco, centri per bambini e genitori, micronidi estivi, anche in riferimento ad orari e periodi di apertura [nel rispetto degli standard fissati per tali servizi];</t>
  </si>
  <si>
    <t>9.3.6 - Implementazione di buoni servizio per servizi a persone con limitazioni di autonomia [per favorire l’accesso dei nuclei familiari alla rete dei servizi sociosanitari domiciliari e a ciclo diurno, e per favorire l’incremento di qualità dei servizi sia in termini di prestazioni erogate che di estensione delle fasce orarie e di integrazione della filiera  per la promozione dell’occupazione regolare nel settore];</t>
  </si>
  <si>
    <r>
      <t>2.2.2 Soluzioni tecnologiche per la realizzazione di servizi di e-Government interoperabili, integrati (</t>
    </r>
    <r>
      <rPr>
        <i/>
        <sz val="10"/>
        <rFont val="Calibri"/>
      </rPr>
      <t>joined-up services</t>
    </r>
    <r>
      <rPr>
        <sz val="10"/>
        <rFont val="Calibri"/>
        <family val="2"/>
      </rPr>
      <t>) e progettati con cittadini e imprese, applicazioni di</t>
    </r>
    <r>
      <rPr>
        <i/>
        <sz val="10"/>
        <rFont val="Calibri"/>
      </rPr>
      <t xml:space="preserve"> e-procurement</t>
    </r>
    <r>
      <rPr>
        <sz val="10"/>
        <rFont val="Calibri"/>
        <family val="2"/>
      </rPr>
      <t xml:space="preserve"> e soluzioni integrate per le </t>
    </r>
    <r>
      <rPr>
        <i/>
        <sz val="10"/>
        <rFont val="Calibri"/>
      </rPr>
      <t>smart cities and communities</t>
    </r>
    <r>
      <rPr>
        <sz val="10"/>
        <rFont val="Calibri"/>
        <family val="2"/>
      </rPr>
      <t xml:space="preserve"> (non incluse nell’OT4). </t>
    </r>
  </si>
  <si>
    <r>
      <t xml:space="preserve">8.i) </t>
    </r>
    <r>
      <rPr>
        <sz val="10"/>
        <rFont val="Calibri"/>
        <family val="2"/>
      </rPr>
      <t>Accesso all'occupazione per le persone in cerca di lavoro e inattive, compresi i disoccupati di lunga durata e le persone che si trovano ai margini del mercato del lavoro, nonché attraverso iniziative locali per l'occupazione e il sostegno alla mobilità professionale</t>
    </r>
  </si>
  <si>
    <r>
      <rPr>
        <b/>
        <sz val="10"/>
        <rFont val="Calibri"/>
      </rPr>
      <t>8.ii)</t>
    </r>
    <r>
      <rPr>
        <sz val="10"/>
        <rFont val="Calibri"/>
        <family val="2"/>
      </rPr>
      <t xml:space="preserve"> Integrazione sostenibile nel mercato del lavoro dei giovani, in particolare quelli che non svolgono attività lavorative, non seguono studi né formazioni, inclusi i giovani a rischio di esclusione sociale e i giovani delle comunità emarginate, anche attraverso l'attuazione della Garanzia per i Giovani</t>
    </r>
  </si>
  <si>
    <r>
      <t xml:space="preserve">8.iv) </t>
    </r>
    <r>
      <rPr>
        <sz val="10"/>
        <rFont val="Calibri"/>
        <family val="2"/>
      </rPr>
      <t>Uguaglianza tra uomini e donne in tutti i settori, incluso l'accesso all'occupazione e alla progressione della carriera, la conciliazione della vita professionale con la vita privata e la promozione della parità di retribuzione per uno stesso lavoro o un lavoro di pari valore</t>
    </r>
  </si>
  <si>
    <r>
      <t xml:space="preserve">8.v) </t>
    </r>
    <r>
      <rPr>
        <sz val="10"/>
        <rFont val="Calibri"/>
        <family val="2"/>
      </rPr>
      <t>Adattamento dei lavoratori, delle imprese e degli imprenditori ai cambiamenti</t>
    </r>
  </si>
  <si>
    <r>
      <t>8.vii)</t>
    </r>
    <r>
      <rPr>
        <sz val="10"/>
        <rFont val="Calibri"/>
        <family val="2"/>
      </rPr>
      <t xml:space="preserve"> Modernizzazione delle istituzioni del mercato del lavoro, come i servizi pubblici e privati di promozione dell'occupazione, migliorando il soddisfacimento delle esigenze del mercato del lavoro, anche attraverso azioni che migliorino la mobilità professionale transnazionale, nonché attraverso programmi di mobilità e una migliore cooperazione tra le istituzioni e i soggetti interessati</t>
    </r>
  </si>
  <si>
    <t xml:space="preserve">9.4.2 - Servizi di promozione e accompagnamento all’abitare assistito nell’ambito della sperimentazione di modelli innovativi sociali e abitativi, finalizzati a soddisfare i bisogni di specifici soggetti-target caratterizzati da specifica fragilità socio-economica </t>
  </si>
  <si>
    <t>9.1.2 - Servizi sociali innovativi di sostegno a nuclei familiari multiproblematici e/o a persone particolarmente svantaggiate o oggetto di discriminazione. Progetti di diffusione e scambio di best practices relativi ai servizi per la famiglia ispirati anche al modello della “sussidarietà circolare</t>
  </si>
  <si>
    <t>9.1.3 - Sostegno a persone in condizione di temporanea difficoltà economica anche attraverso il ricorso a strumenti di ingegneria finanziaria, tra i quali il micro-credito, e strumenti rimborsabili eventualmente anche attraverso ore di lavoro da dedicare alla collettività</t>
  </si>
  <si>
    <t>9.1.5 - Alfabetizzazione e inclusione digitale con particolare riferimento ai soggetti e cittadini svantaggiati (azione a supporto del RA 2.2 e 2.3).</t>
  </si>
  <si>
    <t>9.2.1 - Interventi di presa in carico multi professionale, finalizzati all’inclusione lavorativa delle persone con disabilità attraverso la definizione di progetti personalizzati. Promozione della diffusione e personalizzazione del modello ICF [International Classification of Functioning, Disability and Health] su scala territoriale. Interventi di politica attiva specificamente rivolti alle persone con disabilità</t>
  </si>
  <si>
    <t xml:space="preserve">9.2.2 - Interventi di presa in carico multi professionale finalizzati all’inclusione lavorativa di persone maggiormente vulnerabili e a rischio di discriminazione e in generale alle persone che per diversi motivi sono presi in carico dai servizi sociali: percorsi di empowerment, misure per l’attivazione e accompagnamento di percorsi imprenditoriali, anche in forma cooperativa </t>
  </si>
  <si>
    <t xml:space="preserve">9.2.3 - Progetti integrati di inclusione attiva rivolti alle vittime di violenza, di tratta e grave sfruttamento, ai minori stranieri non accompagnati prossimi alla maggiore età, ai beneficiari di protezione internazionale, sussidiaria ed umanitaria  e alle persone a rischio di discriminazione </t>
  </si>
  <si>
    <t>9.7.1 - Promozione di progetti e di partenariati tra pubblico, privato e privato sociale finalizzati all’innovazione sociale, alla responsabilità sociale di impresa e allo sviluppo del welfare community</t>
  </si>
  <si>
    <t xml:space="preserve">9.7.3 - Rafforzamento delle imprese sociali e delle organizzazioni del terzo settore in termini di efficienza ed efficacia della loro azione </t>
  </si>
  <si>
    <t>9.7.4 - Rafforzamento delle attività delle imprese sociali di inserimento lavorativo</t>
  </si>
  <si>
    <t>10.i) Riduzione e prevenzione dell'abbandono scolastico precoce e promozione dell'uguaglianza di accesso a una istruzione prescolare, primaria e secondaria di buona qualità, inclusi i percorsi di apprendimento formale, non formale e informale che consentano di riprendere l'istruzione e la formazione (FSE)</t>
  </si>
  <si>
    <t>10.1.1 Interventi di sostegno agli studenti caratterizzati da particolari fragilità, tra cui anche persone con disabilità</t>
  </si>
  <si>
    <t>10.1.6 Azioni di orientamento, di continuità e di sostegno alle scelte dei percorsi formativi</t>
  </si>
  <si>
    <t>10.1.7 Percorsi formativi di IFP, accompagnati da azioni di comunicazione e di adeguamento dell’offerta in coerenza con le direttrici di sviluppo economico e imprenditoriale dei territori per aumentarne l’attrattività</t>
  </si>
  <si>
    <t>10.ii) Miglioramento della qualità e dell'efficacia dell'istruzione superiore e di livello equivalente e l'accesso alla stessa, al fine di aumentare la partecipazione e i tassi di riuscita, specie per i gruppi svantaggiati (FSE)</t>
  </si>
  <si>
    <t>10.5.1 Azioni di raccordo tra scuole e istituti di istruzione universitaria o equivalente per corsi preparatori di orientamento all’iscrizione all’istruzione universitaria o equivalente, anche in rapporto alle esigenze del mondo del lavoro</t>
  </si>
  <si>
    <t>10.5.2 Borse di studio e azioni di sostegno a favore di studenti capaci e meritevoli privi di mezzi e di promozione del merito tra gli studenti, inclusi gli studenti con disabilità</t>
  </si>
  <si>
    <t>10.5.6 Interventi per l’internazionalizzazione dei percorsi formativi e per l’attrattività internazionale degli istituti di istruzione universitaria o equivalente, con particolare attenzione alla promozione di corsi di dottorato inseriti in reti nazionali e internazionali, nonché coerenti con le linee strategiche del Piano Nazionale della Ricerca.</t>
  </si>
  <si>
    <t>10.5.12 Azioni per il rafforzamento dei percorsi di istruzione universitaria o equivalente post-lauream, volte a promuovere il raccordo tra istruzione terziaria, il sistema produttivo, gli istituti di ricerca, con particolare riferimento ai dottorati in collaborazione con le imprese e/o enti di ricerca in ambiti scientifici coerenti con le linee strategiche del PNR e della Smart specialisation regionale</t>
  </si>
  <si>
    <t>10.iv) Miglioramento dell’aderenza al mercato del lavoro dei sistemi di insegnamento e di formazione, favorendo il passaggio dalla istruzione al mondo del lavoro, e rafforzando i sistemi di istruzione e formazione professionale e migliorandone la qualità, anche mediante meccanismi di anticipazione delle competenze, l'adeguamento dei curriculum e l’introduzione e lo sviluppo di programmi di sistemi di apprendimento basati sul lavoro, inclusi i sistemi di apprendimento duale e di apprendistato (FSE)</t>
  </si>
  <si>
    <t>10.6.1 Interventi qualificanti della filiera dell’Istruzione e Formazione Tecnica Professionale iniziale e della Formazione Tecnica Superiore (Qualificazione della filiera dell’istruzione Tecnica e professionale, con particolare riguardo alle fasce più deboli; azioni di sistema per lo sviluppo e il coordinamento degli ITS e dei poli tecnico professionali)</t>
  </si>
  <si>
    <t>10.6.2 Azioni formative professionalizzanti connesse con i fabbisogni dei sistemi produttivi locali, e in particolare rafforzamento degli IFTS, e dei Poli tecnico professionali in una logica di integrazione e continuità con l’Istruzione e la formazione professionale iniziale e in stretta connessione con i fabbisogni espressi dal tessuto produttivo</t>
  </si>
  <si>
    <t>10.6.11 Costruzione del Repertorio nazionale dei titoli di studio e delle qualificazioni professionali collegato al quadro europeo (EQF) e implementazione del sistema pubblico nazionale di certificazione delle competenze con lo sviluppo e/o miglioramento dei servizi di orientamento e di validazione e certificazione degli esiti degli apprendimenti conseguiti anche in contesti non formali e informali</t>
  </si>
  <si>
    <t>10.1 - Riduzione del fallimento formativo precoce e della dispersione scolastica e formativa</t>
  </si>
  <si>
    <t>10.5 - Innalzamento dei livelli di competenze, di partecipazione e di successo formativo nell’istruzione universitaria e/o equivalente</t>
  </si>
  <si>
    <t>10.6 - Qualificazione dell’offerta di istruzione e formazione tecnica e professionale</t>
  </si>
  <si>
    <t>11.i Investimento nella capacità istituzionale e nell'efficacia delle amministrazioni pubbliche e dei servizi pubblici a livello nazionale, regionale e locale nell'ottica delle riforme, di una migliore regolamentazione e di una buona governance</t>
  </si>
  <si>
    <t>11.1 Aumento della trasparenza e interoperabilità, e dell’accesso ai dati pubblici</t>
  </si>
  <si>
    <t>Azione 11.1.3 Miglioramento dei processi organizzativi per una migliore integrazione e interoperabilità delle basi informative, statistiche e amministrative, prioritariamente Istruzione, Lavoro, Previdenza e Servizi Sociali, Terzo Settore, Interni ed Affari Esteri e Pubbliche Amministrazioni</t>
  </si>
  <si>
    <t>11.3 Miglioramento delle prestazioni della Pubblica Amministrazione</t>
  </si>
  <si>
    <t>Azione 11.3.1 Interventi per lo sviluppo delle competenze digitali (e-skills) e di modelli per la gestione associata di servizi avanzati</t>
  </si>
  <si>
    <t>Azione 11.3.2 Definizione di standard disciplinari di qualità del servizio, sviluppo di sistemi di qualità, monitoraggio e valutazione delle prestazioni e standard di servizio</t>
  </si>
  <si>
    <t>Azione 11.3.4 Azioni di rafforzamento e qualificazione della domanda di innovazione della PA, attraverso lo sviluppo di competenze mirate all’impiego del “Pre-commercial public procurement”</t>
  </si>
  <si>
    <t>Azione 11.4.1 Azioni di miglioramento dell’efficienza e delle prestazioni degli uffici giudiziari</t>
  </si>
  <si>
    <t>Azione 11.5.2 Interventi per lo sviluppo delle competenze per la prevenzione della corruzione negli appalti pubblici [con particolare riferimento a disegno e controllo dei bandi, gestione procedure online, metodologie di ispezione sulle attività di gestione degli appalti] e per la gestione integrata degli strumenti di prevenzione della corruzione [codici di comportamento, whistleblowing, risk management]</t>
  </si>
  <si>
    <t>Totale (FSE+QN)</t>
  </si>
  <si>
    <r>
      <t xml:space="preserve">Azione 11.1.1 </t>
    </r>
    <r>
      <rPr>
        <sz val="10"/>
        <color rgb="FF000000"/>
        <rFont val="Calibri"/>
        <family val="2"/>
      </rPr>
      <t>Interventi mirati allo sviluppo delle competenze per assicurare qualità, accessibilità, fruibilità, rilascio, riutilizzabilità dei dati pubblici [anche attraverso modalità collaborative e online] e promozione di sforzi mirati e adattamenti organizzativo-professionali, orientati al rilascio continuativo e permanente di dati in possesso di enti pubblici territoriali</t>
    </r>
  </si>
  <si>
    <r>
      <t xml:space="preserve">Azione 11.1.2 </t>
    </r>
    <r>
      <rPr>
        <sz val="10"/>
        <color rgb="FF000000"/>
        <rFont val="Calibri"/>
        <family val="2"/>
      </rPr>
      <t>Progetti di Open Government per favorire trasparenza, collaborazione e partecipazione realizzati tramite il coinvolgimento di cittadini/stakeholder e iniziative per il riutilizzo dei dati pubblici, la partecipazione civica e il controllo sociale</t>
    </r>
  </si>
  <si>
    <t>12. Istruzione e formazione (OT10 FSE)</t>
  </si>
  <si>
    <t>TOTALE COMPLESSIVO</t>
  </si>
  <si>
    <t>% su totale</t>
  </si>
  <si>
    <t xml:space="preserve">8.5 Favorire l’inserimento lavorativo e l’occupazione dei disoccupati di lunga durata e dei soggetti con maggiore difficoltà di inserimento lavorativo, nonché il sostegno delle persone a rischio di disoccupazione di lunga durata </t>
  </si>
  <si>
    <t xml:space="preserve">8.1 Aumentare l’occupazione dei giovani </t>
  </si>
  <si>
    <t>8.2 Aumentare l’occupazione femminile</t>
  </si>
  <si>
    <t xml:space="preserve">8.6 Favorire la permanenza al lavoro e la ricollocazione dei lavoratori coinvolti in situazioni di crisi (settoriali e di grandi aziende) </t>
  </si>
  <si>
    <t xml:space="preserve">8.7 Migliorare l’efficacia e la qualità dei servizi per il lavoro </t>
  </si>
  <si>
    <t>14.1 Sostenere le fasi di programmazione, attuazione, gestione, controllo e sorveglianza del Programma Operativo</t>
  </si>
  <si>
    <t>% su tot Fondo</t>
  </si>
  <si>
    <t>14. Assistenza tecnica (FESR)</t>
  </si>
  <si>
    <t>7. Sviluppo delle reti di mobilità sostenibile (OT7 FESR)</t>
  </si>
  <si>
    <t>6. Tutela e valorizzazione del patrimonio ambientale e culturale (OT6 FESR)</t>
  </si>
  <si>
    <t>13- Capacità istituzionale (OT11 FSE)</t>
  </si>
  <si>
    <t>11 - Inclusione sociale (OT9 FSE)</t>
  </si>
  <si>
    <t>8 - Promozione dell’occupazione sostenibile e di qualità (OT 8 FSE)</t>
  </si>
  <si>
    <t>5. Prevenzione dei rischi (OT5 FESR)</t>
  </si>
  <si>
    <t>3. Competitività e attrattività del sistema produttivo (OT 3 FESR)</t>
  </si>
  <si>
    <t>2. Sviluppo dell’ICT ed attuazione dell’Agenda Digitale (OT2 FESR)</t>
  </si>
  <si>
    <t>1. Ricerca e innovazione (OT1 FESR)</t>
  </si>
  <si>
    <t>4. Efficienza energetica e mobilità sostenibile (OT 4 FESR)</t>
  </si>
  <si>
    <t>Voucher e altri interventi per la conciliazione (women and men inclusive)</t>
  </si>
  <si>
    <t>Piano finanziario del POR FESR - FSE Calabria 2014-2020 (Quota UE+Quota nazionale)</t>
  </si>
  <si>
    <t>RA 8.1</t>
  </si>
  <si>
    <t>RA 8.2</t>
  </si>
  <si>
    <t>RA 8.3</t>
  </si>
  <si>
    <t>RA 8.4</t>
  </si>
  <si>
    <t>RA 8.5</t>
  </si>
  <si>
    <t>RA 8.6</t>
  </si>
  <si>
    <t>RA 8.7</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</si>
</sst>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_-* #,##0.00_-;\-* #,##0.00_-;_-* &quot;-&quot;??_-;_-@_-"/>
    <numFmt numFmtId="165" formatCode="_(* #,##0.00_);_(* \(#,##0.00\);_(* &quot;-&quot;??_);_(@_)"/>
    <numFmt numFmtId="166" formatCode="_-* #,##0.0000_-;\-* #,##0.0000_-;_-* &quot;-&quot;??_-;_-@_-"/>
    <numFmt numFmtId="167" formatCode="_-* #,##0_-;\-* #,##0_-;_-* &quot;-&quot;??_-;_-@_-"/>
    <numFmt numFmtId="168" formatCode="_-* #,##0.0_-;\-* #,##0.0_-;_-* &quot;-&quot;??_-;_-@_-"/>
    <numFmt numFmtId="169" formatCode="_-* #,##0.00000000_-;\-* #,##0.00000000_-;_-* &quot;-&quot;??_-;_-@_-"/>
    <numFmt numFmtId="170" formatCode="_(* #,##0_);_(* \(#,##0\);_(* &quot;-&quot;??_);_(@_)"/>
    <numFmt numFmtId="171" formatCode="&quot;€&quot;\ #,##0"/>
    <numFmt numFmtId="172" formatCode="_-* #,##0.000_-;\-* #,##0.000_-;_-* &quot;-&quot;??_-;_-@_-"/>
    <numFmt numFmtId="173" formatCode="_-* #,##0.000000000_-;\-* #,##0.000000000_-;_-* &quot;-&quot;??_-;_-@_-"/>
    <numFmt numFmtId="174" formatCode="0.0000%"/>
    <numFmt numFmtId="175" formatCode="&quot;€&quot;\ #,##0.000000"/>
    <numFmt numFmtId="176" formatCode="&quot;€&quot;\ #,##0.00"/>
    <numFmt numFmtId="177" formatCode="0.0%"/>
    <numFmt numFmtId="178" formatCode="0.000%"/>
    <numFmt numFmtId="179" formatCode="#,##0_ ;\-#,##0\ "/>
    <numFmt numFmtId="180" formatCode="[$€-2]\ #,##0;[Red]\-[$€-2]\ #,##0"/>
    <numFmt numFmtId="181" formatCode="[$€-2]\ #,##0.00;[Red]\-[$€-2]\ #,##0.00"/>
    <numFmt numFmtId="182" formatCode="&quot;€&quot;\ #,##0;[Red]\-&quot;€&quot;\ #,##0"/>
  </numFmts>
  <fonts count="55" x14ac:knownFonts="1">
    <font>
      <sz val="10"/>
      <name val="Arial"/>
    </font>
    <font>
      <sz val="10"/>
      <name val="Arial"/>
    </font>
    <font>
      <sz val="8"/>
      <name val="Arial"/>
      <family val="2"/>
    </font>
    <font>
      <u/>
      <sz val="10"/>
      <color theme="10"/>
      <name val="Arial"/>
    </font>
    <font>
      <u/>
      <sz val="10"/>
      <color theme="11"/>
      <name val="Arial"/>
    </font>
    <font>
      <sz val="11"/>
      <color theme="1"/>
      <name val="Calibri"/>
      <family val="2"/>
      <scheme val="minor"/>
    </font>
    <font>
      <b/>
      <sz val="10"/>
      <color theme="1"/>
      <name val="Calibri"/>
      <family val="2"/>
      <scheme val="minor"/>
    </font>
    <font>
      <sz val="10"/>
      <color theme="1"/>
      <name val="Calibri"/>
      <family val="2"/>
      <scheme val="minor"/>
    </font>
    <font>
      <vertAlign val="superscript"/>
      <sz val="10"/>
      <color theme="1"/>
      <name val="Calibri"/>
      <family val="2"/>
      <scheme val="minor"/>
    </font>
    <font>
      <u/>
      <sz val="11"/>
      <color theme="10"/>
      <name val="Calibri"/>
      <family val="2"/>
      <scheme val="minor"/>
    </font>
    <font>
      <u/>
      <sz val="10"/>
      <color theme="10"/>
      <name val="Calibri"/>
      <family val="2"/>
      <scheme val="minor"/>
    </font>
    <font>
      <b/>
      <sz val="10"/>
      <name val="Calibri"/>
      <scheme val="minor"/>
    </font>
    <font>
      <sz val="10"/>
      <name val="Calibri"/>
      <scheme val="minor"/>
    </font>
    <font>
      <sz val="10"/>
      <color rgb="FFFF0000"/>
      <name val="Calibri"/>
      <scheme val="minor"/>
    </font>
    <font>
      <b/>
      <i/>
      <sz val="10"/>
      <name val="Calibri"/>
      <scheme val="minor"/>
    </font>
    <font>
      <b/>
      <i/>
      <sz val="10"/>
      <color theme="1"/>
      <name val="Calibri"/>
      <scheme val="minor"/>
    </font>
    <font>
      <b/>
      <i/>
      <u/>
      <sz val="10"/>
      <color theme="1"/>
      <name val="Calibri"/>
      <scheme val="minor"/>
    </font>
    <font>
      <sz val="10"/>
      <name val="Calibri"/>
      <family val="2"/>
    </font>
    <font>
      <sz val="10"/>
      <color rgb="FF000000"/>
      <name val="Calibri"/>
      <family val="2"/>
    </font>
    <font>
      <i/>
      <sz val="10"/>
      <name val="Calibri"/>
      <scheme val="minor"/>
    </font>
    <font>
      <sz val="10"/>
      <color rgb="FF3366FF"/>
      <name val="Calibri"/>
      <scheme val="minor"/>
    </font>
    <font>
      <sz val="12"/>
      <color theme="0"/>
      <name val="Calibri"/>
      <family val="2"/>
      <scheme val="minor"/>
    </font>
    <font>
      <sz val="11"/>
      <color rgb="FF9C6500"/>
      <name val="Calibri"/>
      <family val="2"/>
      <scheme val="minor"/>
    </font>
    <font>
      <b/>
      <sz val="9"/>
      <name val="Calibri"/>
      <family val="2"/>
      <scheme val="minor"/>
    </font>
    <font>
      <sz val="9"/>
      <name val="Calibri"/>
      <family val="2"/>
      <scheme val="minor"/>
    </font>
    <font>
      <b/>
      <sz val="9"/>
      <color theme="6" tint="-0.499984740745262"/>
      <name val="Calibri"/>
      <scheme val="minor"/>
    </font>
    <font>
      <sz val="9"/>
      <color theme="6" tint="-0.499984740745262"/>
      <name val="Calibri"/>
      <scheme val="minor"/>
    </font>
    <font>
      <sz val="9"/>
      <name val="TimesNewRomanPSMT"/>
    </font>
    <font>
      <sz val="9"/>
      <color rgb="FFFF0000"/>
      <name val="Calibri"/>
      <family val="2"/>
      <scheme val="minor"/>
    </font>
    <font>
      <b/>
      <i/>
      <sz val="9"/>
      <name val="Calibri"/>
      <scheme val="minor"/>
    </font>
    <font>
      <b/>
      <i/>
      <sz val="9"/>
      <color theme="6" tint="-0.499984740745262"/>
      <name val="Calibri"/>
      <scheme val="minor"/>
    </font>
    <font>
      <sz val="10"/>
      <color theme="5"/>
      <name val="Calibri"/>
      <scheme val="minor"/>
    </font>
    <font>
      <b/>
      <sz val="10"/>
      <color theme="5"/>
      <name val="Calibri"/>
      <scheme val="minor"/>
    </font>
    <font>
      <sz val="10"/>
      <color theme="5"/>
      <name val="Arial"/>
    </font>
    <font>
      <sz val="11"/>
      <color theme="5"/>
      <name val="Calibri"/>
      <family val="2"/>
      <scheme val="minor"/>
    </font>
    <font>
      <b/>
      <i/>
      <sz val="10"/>
      <color theme="5"/>
      <name val="Calibri"/>
      <scheme val="minor"/>
    </font>
    <font>
      <sz val="9.5"/>
      <name val="Calibri"/>
      <family val="2"/>
      <scheme val="minor"/>
    </font>
    <font>
      <b/>
      <sz val="9.5"/>
      <name val="Calibri"/>
      <family val="2"/>
      <scheme val="minor"/>
    </font>
    <font>
      <sz val="10"/>
      <color theme="9" tint="-0.499984740745262"/>
      <name val="Calibri"/>
      <scheme val="minor"/>
    </font>
    <font>
      <sz val="9.5"/>
      <color theme="9" tint="-0.499984740745262"/>
      <name val="Calibri"/>
      <scheme val="minor"/>
    </font>
    <font>
      <b/>
      <sz val="10"/>
      <color theme="9" tint="-0.499984740745262"/>
      <name val="Calibri"/>
      <scheme val="minor"/>
    </font>
    <font>
      <b/>
      <sz val="9.5"/>
      <color theme="9" tint="-0.499984740745262"/>
      <name val="Calibri"/>
      <scheme val="minor"/>
    </font>
    <font>
      <b/>
      <i/>
      <sz val="10"/>
      <color theme="9" tint="-0.499984740745262"/>
      <name val="Calibri"/>
      <scheme val="minor"/>
    </font>
    <font>
      <sz val="11"/>
      <color indexed="8"/>
      <name val="Calibri"/>
      <family val="2"/>
    </font>
    <font>
      <b/>
      <sz val="10"/>
      <name val="Calibri"/>
    </font>
    <font>
      <b/>
      <sz val="10"/>
      <color indexed="9"/>
      <name val="Calibri"/>
    </font>
    <font>
      <b/>
      <sz val="10"/>
      <color rgb="FFFFFFFF"/>
      <name val="Calibri"/>
    </font>
    <font>
      <i/>
      <sz val="10"/>
      <name val="Calibri"/>
    </font>
    <font>
      <sz val="10"/>
      <color indexed="8"/>
      <name val="Calibri"/>
    </font>
    <font>
      <sz val="10"/>
      <color theme="1"/>
      <name val="Calibri"/>
    </font>
    <font>
      <i/>
      <sz val="10"/>
      <color theme="1"/>
      <name val="Calibri"/>
    </font>
    <font>
      <b/>
      <sz val="10"/>
      <color theme="1"/>
      <name val="Calibri"/>
    </font>
    <font>
      <sz val="9"/>
      <color theme="7" tint="-0.249977111117893"/>
      <name val="Calibri"/>
      <scheme val="minor"/>
    </font>
    <font>
      <b/>
      <sz val="9"/>
      <name val="Calibri"/>
    </font>
    <font>
      <b/>
      <sz val="14"/>
      <color rgb="FFFF0000"/>
      <name val="Calibri"/>
      <scheme val="minor"/>
    </font>
  </fonts>
  <fills count="17">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9"/>
      </patternFill>
    </fill>
    <fill>
      <patternFill patternType="solid">
        <fgColor theme="3" tint="0.39997558519241921"/>
        <bgColor indexed="64"/>
      </patternFill>
    </fill>
    <fill>
      <patternFill patternType="solid">
        <fgColor rgb="FF538DD5"/>
        <bgColor rgb="FF000000"/>
      </patternFill>
    </fill>
    <fill>
      <patternFill patternType="solid">
        <fgColor theme="0"/>
        <bgColor indexed="64"/>
      </patternFill>
    </fill>
    <fill>
      <patternFill patternType="solid">
        <fgColor rgb="FFFFC000"/>
        <bgColor indexed="64"/>
      </patternFill>
    </fill>
    <fill>
      <patternFill patternType="solid">
        <fgColor indexed="43"/>
      </patternFill>
    </fill>
    <fill>
      <patternFill patternType="solid">
        <fgColor rgb="FFFFFFFF"/>
        <bgColor rgb="FF000000"/>
      </patternFill>
    </fill>
    <fill>
      <patternFill patternType="solid">
        <fgColor theme="9"/>
        <bgColor indexed="64"/>
      </patternFill>
    </fill>
    <fill>
      <patternFill patternType="solid">
        <fgColor theme="0"/>
        <bgColor rgb="FF000000"/>
      </patternFill>
    </fill>
    <fill>
      <patternFill patternType="solid">
        <fgColor theme="6" tint="0.39997558519241921"/>
        <bgColor indexed="64"/>
      </patternFill>
    </fill>
    <fill>
      <patternFill patternType="solid">
        <fgColor indexed="27"/>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style="thin">
        <color auto="1"/>
      </right>
      <top/>
      <bottom/>
      <diagonal/>
    </border>
  </borders>
  <cellStyleXfs count="283">
    <xf numFmtId="0" fontId="0" fillId="0" borderId="0"/>
    <xf numFmtId="165"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9" fillId="0" borderId="0" applyNumberForma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1" fillId="6" borderId="0" applyNumberFormat="0" applyBorder="0" applyAlignment="0" applyProtection="0"/>
    <xf numFmtId="164" fontId="1" fillId="0" borderId="0" applyFont="0" applyFill="0" applyBorder="0" applyAlignment="0" applyProtection="0"/>
    <xf numFmtId="0" fontId="22" fillId="11" borderId="0" applyNumberFormat="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3" fillId="0" borderId="0"/>
    <xf numFmtId="0" fontId="4" fillId="0" borderId="0" applyNumberFormat="0" applyFill="0" applyBorder="0" applyAlignment="0" applyProtection="0"/>
    <xf numFmtId="0" fontId="4" fillId="0" borderId="0" applyNumberFormat="0" applyFill="0" applyBorder="0" applyAlignment="0" applyProtection="0"/>
    <xf numFmtId="164" fontId="43" fillId="0" borderId="0" applyFont="0" applyFill="0" applyBorder="0" applyAlignment="0" applyProtection="0"/>
    <xf numFmtId="0" fontId="4" fillId="0" borderId="0" applyNumberFormat="0" applyFill="0" applyBorder="0" applyAlignment="0" applyProtection="0"/>
    <xf numFmtId="0" fontId="43" fillId="0" borderId="0"/>
    <xf numFmtId="0" fontId="43" fillId="16" borderId="0" applyNumberFormat="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587">
    <xf numFmtId="0" fontId="0" fillId="0" borderId="0" xfId="0"/>
    <xf numFmtId="0" fontId="6" fillId="0" borderId="0" xfId="115" applyFont="1" applyAlignment="1">
      <alignment horizontal="left" vertical="center"/>
    </xf>
    <xf numFmtId="0" fontId="7" fillId="0" borderId="0" xfId="115" applyFont="1"/>
    <xf numFmtId="0" fontId="8" fillId="0" borderId="0" xfId="115" applyFont="1" applyAlignment="1">
      <alignment horizontal="justify" vertical="center"/>
    </xf>
    <xf numFmtId="0" fontId="10" fillId="0" borderId="0" xfId="116" applyFont="1" applyAlignment="1">
      <alignment horizontal="justify" vertical="center"/>
    </xf>
    <xf numFmtId="0" fontId="7" fillId="0" borderId="0" xfId="115" applyFont="1" applyAlignment="1">
      <alignment horizontal="left" vertical="center"/>
    </xf>
    <xf numFmtId="0" fontId="6" fillId="0" borderId="1" xfId="115" applyFont="1" applyBorder="1"/>
    <xf numFmtId="0" fontId="6" fillId="0" borderId="0" xfId="115" applyFont="1" applyBorder="1" applyAlignment="1">
      <alignment horizontal="center"/>
    </xf>
    <xf numFmtId="10" fontId="7" fillId="0" borderId="1" xfId="117" applyNumberFormat="1" applyFont="1" applyBorder="1"/>
    <xf numFmtId="10" fontId="7" fillId="0" borderId="0" xfId="117" applyNumberFormat="1" applyFont="1" applyBorder="1"/>
    <xf numFmtId="0" fontId="7" fillId="0" borderId="1" xfId="115" applyFont="1" applyBorder="1"/>
    <xf numFmtId="0" fontId="6" fillId="0" borderId="1" xfId="115" applyFont="1" applyBorder="1" applyAlignment="1">
      <alignment horizontal="justify" vertical="center" wrapText="1"/>
    </xf>
    <xf numFmtId="0" fontId="6" fillId="0" borderId="1" xfId="115" applyFont="1" applyBorder="1" applyAlignment="1">
      <alignment horizontal="center" vertical="center" wrapText="1"/>
    </xf>
    <xf numFmtId="165" fontId="12" fillId="0" borderId="0" xfId="1" applyFont="1" applyAlignment="1">
      <alignment horizontal="right" vertical="center" wrapText="1"/>
    </xf>
    <xf numFmtId="164" fontId="12" fillId="0" borderId="0" xfId="0" applyNumberFormat="1" applyFont="1" applyAlignment="1">
      <alignment horizontal="right" vertical="center" wrapText="1"/>
    </xf>
    <xf numFmtId="0" fontId="12" fillId="0" borderId="0" xfId="0" applyFont="1" applyAlignment="1">
      <alignment horizontal="right" vertical="center" wrapText="1"/>
    </xf>
    <xf numFmtId="9" fontId="12" fillId="0" borderId="0" xfId="2" applyFont="1" applyAlignment="1">
      <alignment horizontal="right" vertical="center" wrapText="1"/>
    </xf>
    <xf numFmtId="0" fontId="12" fillId="0" borderId="0" xfId="0" applyFont="1" applyAlignment="1">
      <alignment vertical="center" wrapText="1"/>
    </xf>
    <xf numFmtId="165" fontId="11" fillId="0" borderId="1" xfId="1" applyFont="1" applyBorder="1" applyAlignment="1">
      <alignment horizontal="center" vertical="center" wrapText="1"/>
    </xf>
    <xf numFmtId="164" fontId="11" fillId="0" borderId="1" xfId="0" applyNumberFormat="1" applyFont="1" applyBorder="1" applyAlignment="1">
      <alignment horizontal="center" vertical="center" wrapText="1"/>
    </xf>
    <xf numFmtId="166"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indent="1"/>
    </xf>
    <xf numFmtId="0" fontId="11" fillId="0" borderId="0" xfId="0" applyFont="1" applyAlignment="1">
      <alignment horizontal="left" vertical="center" wrapText="1" indent="1"/>
    </xf>
    <xf numFmtId="0" fontId="11" fillId="0" borderId="0" xfId="0" applyFont="1" applyAlignment="1">
      <alignment vertical="center" wrapText="1"/>
    </xf>
    <xf numFmtId="0" fontId="12" fillId="0" borderId="0" xfId="0" applyFont="1" applyFill="1" applyAlignment="1">
      <alignment vertical="center" wrapText="1"/>
    </xf>
    <xf numFmtId="0" fontId="7" fillId="0" borderId="1" xfId="115" applyFont="1" applyBorder="1" applyAlignment="1">
      <alignment horizontal="left" vertical="center" wrapText="1"/>
    </xf>
    <xf numFmtId="0" fontId="6" fillId="0" borderId="1" xfId="115" applyFont="1" applyBorder="1" applyAlignment="1">
      <alignment horizontal="left" vertical="center" wrapText="1"/>
    </xf>
    <xf numFmtId="0" fontId="6" fillId="0" borderId="0" xfId="115" applyFont="1" applyAlignment="1">
      <alignment horizontal="justify" vertical="center"/>
    </xf>
    <xf numFmtId="0" fontId="6" fillId="0" borderId="1" xfId="115" applyFont="1" applyBorder="1" applyAlignment="1">
      <alignment horizontal="center" vertical="center"/>
    </xf>
    <xf numFmtId="0" fontId="6" fillId="0" borderId="1" xfId="115" applyFont="1" applyBorder="1" applyAlignment="1">
      <alignment horizontal="right" vertical="center" wrapText="1"/>
    </xf>
    <xf numFmtId="0" fontId="12" fillId="0" borderId="5" xfId="115" applyFont="1" applyBorder="1" applyAlignment="1">
      <alignment vertical="center" wrapText="1"/>
    </xf>
    <xf numFmtId="171" fontId="7" fillId="0" borderId="1" xfId="115" applyNumberFormat="1" applyFont="1" applyBorder="1" applyAlignment="1">
      <alignment horizontal="right" vertical="center" wrapText="1"/>
    </xf>
    <xf numFmtId="0" fontId="12" fillId="0" borderId="1" xfId="115" applyFont="1" applyBorder="1" applyAlignment="1">
      <alignment vertical="center" wrapText="1"/>
    </xf>
    <xf numFmtId="0" fontId="12" fillId="0" borderId="5" xfId="115" applyFont="1" applyFill="1" applyBorder="1" applyAlignment="1">
      <alignment vertical="center" wrapText="1"/>
    </xf>
    <xf numFmtId="0" fontId="7" fillId="0" borderId="1" xfId="115" applyFont="1" applyFill="1" applyBorder="1" applyAlignment="1">
      <alignment horizontal="left" vertical="center" wrapText="1"/>
    </xf>
    <xf numFmtId="171" fontId="7" fillId="0" borderId="1" xfId="115" applyNumberFormat="1" applyFont="1" applyFill="1" applyBorder="1" applyAlignment="1">
      <alignment horizontal="right" vertical="center" wrapText="1"/>
    </xf>
    <xf numFmtId="171" fontId="6" fillId="0" borderId="1" xfId="115" applyNumberFormat="1" applyFont="1" applyBorder="1" applyAlignment="1">
      <alignment horizontal="right" vertical="center" wrapText="1"/>
    </xf>
    <xf numFmtId="0" fontId="10" fillId="0" borderId="0" xfId="116" applyFont="1" applyAlignment="1">
      <alignment horizontal="right" vertical="center"/>
    </xf>
    <xf numFmtId="0" fontId="6" fillId="0" borderId="0" xfId="115" applyFont="1"/>
    <xf numFmtId="0" fontId="7" fillId="0" borderId="1" xfId="115" applyFont="1" applyBorder="1" applyAlignment="1">
      <alignment horizontal="justify" vertical="center" wrapText="1"/>
    </xf>
    <xf numFmtId="0" fontId="7" fillId="0" borderId="1" xfId="115" applyFont="1" applyBorder="1" applyAlignment="1">
      <alignment horizontal="center" vertical="center" wrapText="1"/>
    </xf>
    <xf numFmtId="9" fontId="13" fillId="3" borderId="0" xfId="115" applyNumberFormat="1" applyFont="1" applyFill="1"/>
    <xf numFmtId="0" fontId="6" fillId="0" borderId="0" xfId="115" applyFont="1" applyBorder="1" applyAlignment="1">
      <alignment horizontal="center" vertical="center" wrapText="1"/>
    </xf>
    <xf numFmtId="0" fontId="15" fillId="0" borderId="1" xfId="115" applyFont="1" applyBorder="1" applyAlignment="1">
      <alignment horizontal="center" vertical="center" wrapText="1"/>
    </xf>
    <xf numFmtId="0" fontId="15" fillId="0" borderId="0" xfId="115" applyFont="1" applyBorder="1" applyAlignment="1">
      <alignment horizontal="center" vertical="center" wrapText="1"/>
    </xf>
    <xf numFmtId="10" fontId="7" fillId="0" borderId="1" xfId="117" applyNumberFormat="1" applyFont="1" applyBorder="1" applyAlignment="1">
      <alignment horizontal="right" vertical="center" wrapText="1"/>
    </xf>
    <xf numFmtId="164" fontId="7" fillId="0" borderId="1" xfId="118" applyNumberFormat="1" applyFont="1" applyBorder="1" applyAlignment="1">
      <alignment horizontal="center" vertical="center" wrapText="1"/>
    </xf>
    <xf numFmtId="164" fontId="7" fillId="0" borderId="0" xfId="118" applyNumberFormat="1" applyFont="1" applyBorder="1" applyAlignment="1">
      <alignment horizontal="center" vertical="center" wrapText="1"/>
    </xf>
    <xf numFmtId="0" fontId="12" fillId="4" borderId="5" xfId="115" applyFont="1" applyFill="1" applyBorder="1" applyAlignment="1">
      <alignment vertical="center" wrapText="1"/>
    </xf>
    <xf numFmtId="0" fontId="7" fillId="4" borderId="1" xfId="115" applyFont="1" applyFill="1" applyBorder="1" applyAlignment="1">
      <alignment horizontal="left" vertical="center" wrapText="1"/>
    </xf>
    <xf numFmtId="0" fontId="7" fillId="4" borderId="1" xfId="115" applyFont="1" applyFill="1" applyBorder="1" applyAlignment="1">
      <alignment horizontal="center" vertical="center" wrapText="1"/>
    </xf>
    <xf numFmtId="171" fontId="7" fillId="4" borderId="1" xfId="115" applyNumberFormat="1" applyFont="1" applyFill="1" applyBorder="1" applyAlignment="1">
      <alignment horizontal="right" vertical="center" wrapText="1"/>
    </xf>
    <xf numFmtId="10" fontId="7" fillId="4" borderId="1" xfId="117" applyNumberFormat="1" applyFont="1" applyFill="1" applyBorder="1" applyAlignment="1">
      <alignment horizontal="right" vertical="center" wrapText="1"/>
    </xf>
    <xf numFmtId="164" fontId="7" fillId="4" borderId="1" xfId="118" applyNumberFormat="1" applyFont="1" applyFill="1" applyBorder="1" applyAlignment="1">
      <alignment horizontal="center" vertical="center" wrapText="1"/>
    </xf>
    <xf numFmtId="10" fontId="6" fillId="0" borderId="1" xfId="117" applyNumberFormat="1" applyFont="1" applyBorder="1" applyAlignment="1">
      <alignment horizontal="right" vertical="center" wrapText="1"/>
    </xf>
    <xf numFmtId="0" fontId="6" fillId="4" borderId="1" xfId="115" applyFont="1" applyFill="1" applyBorder="1" applyAlignment="1">
      <alignment horizontal="left" vertical="center" wrapText="1"/>
    </xf>
    <xf numFmtId="171" fontId="6" fillId="4" borderId="1" xfId="115" applyNumberFormat="1" applyFont="1" applyFill="1" applyBorder="1" applyAlignment="1">
      <alignment horizontal="right" vertical="center" wrapText="1"/>
    </xf>
    <xf numFmtId="10" fontId="6" fillId="4" borderId="1" xfId="117" applyNumberFormat="1" applyFont="1" applyFill="1" applyBorder="1" applyAlignment="1">
      <alignment horizontal="right" vertical="center" wrapText="1"/>
    </xf>
    <xf numFmtId="171" fontId="7" fillId="0" borderId="0" xfId="115" applyNumberFormat="1" applyFont="1"/>
    <xf numFmtId="0" fontId="11" fillId="2" borderId="1" xfId="0" applyFont="1" applyFill="1" applyBorder="1" applyAlignment="1">
      <alignment horizontal="left" vertical="center" wrapText="1" indent="1"/>
    </xf>
    <xf numFmtId="0" fontId="12" fillId="0" borderId="1" xfId="0" applyFont="1" applyBorder="1" applyAlignment="1">
      <alignment horizontal="left" vertical="center" wrapText="1" indent="1"/>
    </xf>
    <xf numFmtId="3" fontId="11" fillId="2" borderId="1" xfId="1" applyNumberFormat="1" applyFont="1" applyFill="1" applyBorder="1" applyAlignment="1">
      <alignment horizontal="right" vertical="center" wrapText="1" indent="1"/>
    </xf>
    <xf numFmtId="3" fontId="11" fillId="0" borderId="1" xfId="2" applyNumberFormat="1" applyFont="1" applyBorder="1" applyAlignment="1">
      <alignment horizontal="right" vertical="center" wrapText="1" indent="1"/>
    </xf>
    <xf numFmtId="169" fontId="12" fillId="0" borderId="0" xfId="1" applyNumberFormat="1" applyFont="1" applyAlignment="1">
      <alignment horizontal="right" vertical="center" wrapText="1"/>
    </xf>
    <xf numFmtId="170" fontId="12" fillId="0" borderId="0" xfId="1" applyNumberFormat="1" applyFont="1" applyAlignment="1">
      <alignment horizontal="right" vertical="center" wrapText="1"/>
    </xf>
    <xf numFmtId="164" fontId="11" fillId="2" borderId="1" xfId="1" applyNumberFormat="1" applyFont="1" applyFill="1" applyBorder="1" applyAlignment="1">
      <alignment horizontal="right" vertical="center" wrapText="1" indent="1"/>
    </xf>
    <xf numFmtId="164" fontId="11" fillId="2" borderId="1" xfId="2" applyNumberFormat="1" applyFont="1" applyFill="1" applyBorder="1" applyAlignment="1">
      <alignment horizontal="right" vertical="center" wrapText="1" indent="1"/>
    </xf>
    <xf numFmtId="3" fontId="12" fillId="0" borderId="1" xfId="1" applyNumberFormat="1" applyFont="1" applyBorder="1" applyAlignment="1">
      <alignment horizontal="right" vertical="center" wrapText="1" indent="1"/>
    </xf>
    <xf numFmtId="164" fontId="12" fillId="0" borderId="1" xfId="2" applyNumberFormat="1" applyFont="1" applyBorder="1" applyAlignment="1">
      <alignment horizontal="right" vertical="center" wrapText="1" indent="1"/>
    </xf>
    <xf numFmtId="164" fontId="12" fillId="0" borderId="1" xfId="2" applyNumberFormat="1" applyFont="1" applyFill="1" applyBorder="1" applyAlignment="1">
      <alignment horizontal="right" vertical="center" wrapText="1" indent="1"/>
    </xf>
    <xf numFmtId="164" fontId="11" fillId="0" borderId="1" xfId="2" applyNumberFormat="1" applyFont="1" applyBorder="1" applyAlignment="1">
      <alignment horizontal="right" vertical="center" wrapText="1" indent="1"/>
    </xf>
    <xf numFmtId="164" fontId="12" fillId="0" borderId="1" xfId="0" applyNumberFormat="1" applyFont="1" applyBorder="1" applyAlignment="1">
      <alignment horizontal="right" vertical="center" wrapText="1" indent="1"/>
    </xf>
    <xf numFmtId="10" fontId="12" fillId="0" borderId="0" xfId="2" applyNumberFormat="1" applyFont="1" applyAlignment="1">
      <alignment horizontal="right" vertical="center" wrapText="1"/>
    </xf>
    <xf numFmtId="168" fontId="12" fillId="0" borderId="0" xfId="0" applyNumberFormat="1" applyFont="1" applyAlignment="1">
      <alignment horizontal="right" vertical="center" wrapText="1"/>
    </xf>
    <xf numFmtId="172" fontId="12" fillId="0" borderId="0" xfId="0" applyNumberFormat="1" applyFont="1" applyAlignment="1">
      <alignment horizontal="right" vertical="center" wrapText="1"/>
    </xf>
    <xf numFmtId="169" fontId="12" fillId="0" borderId="0" xfId="0" applyNumberFormat="1" applyFont="1" applyAlignment="1">
      <alignment horizontal="right" vertical="center" wrapText="1"/>
    </xf>
    <xf numFmtId="173" fontId="12" fillId="0" borderId="0" xfId="0" applyNumberFormat="1" applyFont="1" applyAlignment="1">
      <alignment horizontal="right" vertical="center" wrapText="1"/>
    </xf>
    <xf numFmtId="170" fontId="7" fillId="0" borderId="0" xfId="1" applyNumberFormat="1" applyFont="1"/>
    <xf numFmtId="174" fontId="7" fillId="0" borderId="0" xfId="2" applyNumberFormat="1" applyFont="1"/>
    <xf numFmtId="165" fontId="17" fillId="0" borderId="0" xfId="0" applyNumberFormat="1" applyFont="1" applyAlignment="1">
      <alignment horizontal="right" vertical="center" wrapText="1"/>
    </xf>
    <xf numFmtId="164" fontId="6" fillId="0" borderId="1" xfId="118" applyNumberFormat="1" applyFont="1" applyBorder="1" applyAlignment="1">
      <alignment horizontal="center" vertical="center" wrapText="1"/>
    </xf>
    <xf numFmtId="164" fontId="6" fillId="4" borderId="1" xfId="118" applyNumberFormat="1" applyFont="1" applyFill="1" applyBorder="1" applyAlignment="1">
      <alignment horizontal="center" vertical="center" wrapText="1"/>
    </xf>
    <xf numFmtId="171" fontId="18" fillId="0" borderId="0" xfId="0" applyNumberFormat="1" applyFont="1"/>
    <xf numFmtId="0" fontId="18" fillId="0" borderId="0" xfId="0" applyFont="1"/>
    <xf numFmtId="175" fontId="7" fillId="0" borderId="0" xfId="115" applyNumberFormat="1" applyFont="1"/>
    <xf numFmtId="0" fontId="7" fillId="3" borderId="0" xfId="115" applyFont="1" applyFill="1"/>
    <xf numFmtId="3" fontId="12" fillId="0" borderId="0" xfId="1" applyNumberFormat="1" applyFont="1" applyAlignment="1">
      <alignment horizontal="right" vertical="center" wrapText="1"/>
    </xf>
    <xf numFmtId="3" fontId="11" fillId="0" borderId="1" xfId="1" applyNumberFormat="1" applyFont="1" applyBorder="1" applyAlignment="1">
      <alignment horizontal="center" vertical="center" wrapText="1"/>
    </xf>
    <xf numFmtId="0" fontId="14" fillId="0" borderId="1" xfId="0" applyFont="1" applyBorder="1" applyAlignment="1">
      <alignment horizontal="left" vertical="center" wrapText="1" indent="1"/>
    </xf>
    <xf numFmtId="3" fontId="14" fillId="0" borderId="1" xfId="1" applyNumberFormat="1" applyFont="1" applyBorder="1" applyAlignment="1">
      <alignment horizontal="right" vertical="center" wrapText="1" indent="1"/>
    </xf>
    <xf numFmtId="164" fontId="14" fillId="0" borderId="1" xfId="2" applyNumberFormat="1" applyFont="1" applyBorder="1" applyAlignment="1">
      <alignment horizontal="right" vertical="center" wrapText="1" indent="1"/>
    </xf>
    <xf numFmtId="0" fontId="19" fillId="0" borderId="0" xfId="0" applyFont="1" applyAlignment="1">
      <alignment vertical="center" wrapText="1"/>
    </xf>
    <xf numFmtId="170" fontId="11" fillId="0" borderId="1" xfId="1" applyNumberFormat="1" applyFont="1" applyBorder="1" applyAlignment="1">
      <alignment horizontal="center" vertical="center" wrapText="1"/>
    </xf>
    <xf numFmtId="170" fontId="11" fillId="2" borderId="1" xfId="1" applyNumberFormat="1" applyFont="1" applyFill="1" applyBorder="1" applyAlignment="1">
      <alignment horizontal="right" vertical="center" wrapText="1" indent="1"/>
    </xf>
    <xf numFmtId="170" fontId="12" fillId="0" borderId="1" xfId="1" applyNumberFormat="1" applyFont="1" applyBorder="1" applyAlignment="1">
      <alignment horizontal="right" vertical="center" wrapText="1" indent="1"/>
    </xf>
    <xf numFmtId="170" fontId="14" fillId="0" borderId="1" xfId="1" applyNumberFormat="1" applyFont="1" applyBorder="1" applyAlignment="1">
      <alignment horizontal="right" vertical="center" wrapText="1" indent="1"/>
    </xf>
    <xf numFmtId="170" fontId="11" fillId="0" borderId="1" xfId="2" applyNumberFormat="1" applyFont="1" applyBorder="1" applyAlignment="1">
      <alignment horizontal="right" vertical="center" wrapText="1" indent="1"/>
    </xf>
    <xf numFmtId="0" fontId="6" fillId="0" borderId="1" xfId="115" applyFont="1" applyBorder="1" applyAlignment="1">
      <alignment horizontal="center" vertical="center" wrapText="1"/>
    </xf>
    <xf numFmtId="176" fontId="7" fillId="0" borderId="1" xfId="115" applyNumberFormat="1" applyFont="1" applyBorder="1" applyAlignment="1">
      <alignment horizontal="right" vertical="center" wrapText="1"/>
    </xf>
    <xf numFmtId="176" fontId="7" fillId="4" borderId="1" xfId="115" applyNumberFormat="1" applyFont="1" applyFill="1" applyBorder="1" applyAlignment="1">
      <alignment horizontal="right" vertical="center" wrapText="1"/>
    </xf>
    <xf numFmtId="0" fontId="12" fillId="0" borderId="1" xfId="0" applyFont="1" applyFill="1" applyBorder="1" applyAlignment="1">
      <alignment horizontal="left" vertical="center" wrapText="1" indent="1"/>
    </xf>
    <xf numFmtId="170" fontId="12" fillId="0" borderId="1" xfId="1" applyNumberFormat="1" applyFont="1" applyFill="1" applyBorder="1" applyAlignment="1">
      <alignment horizontal="right" vertical="center" wrapText="1" indent="1"/>
    </xf>
    <xf numFmtId="0" fontId="7" fillId="0" borderId="0" xfId="115" applyFont="1" applyAlignment="1">
      <alignment horizontal="center"/>
    </xf>
    <xf numFmtId="0" fontId="12" fillId="0" borderId="5" xfId="115" applyFont="1" applyBorder="1" applyAlignment="1">
      <alignment horizontal="center" vertical="center" wrapText="1"/>
    </xf>
    <xf numFmtId="0" fontId="12" fillId="0" borderId="5" xfId="115" applyFont="1" applyFill="1" applyBorder="1" applyAlignment="1">
      <alignment horizontal="center" vertical="center" wrapText="1"/>
    </xf>
    <xf numFmtId="0" fontId="7" fillId="0" borderId="0" xfId="115" applyFont="1" applyAlignment="1">
      <alignment horizontal="center" vertical="center"/>
    </xf>
    <xf numFmtId="0" fontId="7" fillId="0" borderId="0" xfId="115" applyFont="1" applyFill="1"/>
    <xf numFmtId="0" fontId="6" fillId="0" borderId="1" xfId="115" applyFont="1" applyFill="1" applyBorder="1" applyAlignment="1">
      <alignment horizontal="center" vertical="center" wrapText="1"/>
    </xf>
    <xf numFmtId="0" fontId="15" fillId="0" borderId="1" xfId="115" applyFont="1" applyFill="1" applyBorder="1" applyAlignment="1">
      <alignment horizontal="center" vertical="center" wrapText="1"/>
    </xf>
    <xf numFmtId="171" fontId="6" fillId="0" borderId="1" xfId="115" applyNumberFormat="1" applyFont="1" applyFill="1" applyBorder="1" applyAlignment="1">
      <alignment horizontal="right" vertical="center" wrapText="1"/>
    </xf>
    <xf numFmtId="3" fontId="12" fillId="0" borderId="1" xfId="1" applyNumberFormat="1" applyFont="1" applyFill="1" applyBorder="1" applyAlignment="1">
      <alignment horizontal="right" vertical="center" wrapText="1" indent="1"/>
    </xf>
    <xf numFmtId="165" fontId="20" fillId="5" borderId="0" xfId="1" applyFont="1" applyFill="1" applyAlignment="1">
      <alignment horizontal="right" vertical="center" wrapText="1"/>
    </xf>
    <xf numFmtId="178" fontId="7" fillId="0" borderId="0" xfId="2" applyNumberFormat="1" applyFont="1"/>
    <xf numFmtId="0" fontId="23" fillId="0" borderId="0" xfId="0" applyFont="1" applyAlignment="1">
      <alignment vertical="center" wrapText="1"/>
    </xf>
    <xf numFmtId="170" fontId="24" fillId="0" borderId="0" xfId="183" applyNumberFormat="1" applyFont="1" applyAlignment="1">
      <alignment horizontal="right" vertical="center" wrapText="1"/>
    </xf>
    <xf numFmtId="164" fontId="24" fillId="0" borderId="0" xfId="183" applyNumberFormat="1" applyFont="1" applyAlignment="1">
      <alignment horizontal="right" vertical="center" wrapText="1"/>
    </xf>
    <xf numFmtId="164" fontId="24" fillId="0" borderId="0" xfId="183" applyFont="1" applyAlignment="1">
      <alignment horizontal="right" vertical="center" wrapText="1"/>
    </xf>
    <xf numFmtId="0" fontId="24" fillId="0" borderId="0" xfId="0" applyFont="1" applyAlignment="1">
      <alignment vertical="center" wrapText="1"/>
    </xf>
    <xf numFmtId="170" fontId="23" fillId="15" borderId="0" xfId="183" applyNumberFormat="1" applyFont="1" applyFill="1" applyAlignment="1">
      <alignment horizontal="left" vertical="center"/>
    </xf>
    <xf numFmtId="164" fontId="23" fillId="15" borderId="0" xfId="183" applyNumberFormat="1" applyFont="1" applyFill="1" applyAlignment="1">
      <alignment horizontal="right" vertical="center" wrapText="1"/>
    </xf>
    <xf numFmtId="164" fontId="23" fillId="15" borderId="0" xfId="183" applyFont="1" applyFill="1" applyAlignment="1">
      <alignment horizontal="right" vertical="center" wrapText="1"/>
    </xf>
    <xf numFmtId="0" fontId="23" fillId="15" borderId="0" xfId="0" applyFont="1" applyFill="1" applyAlignment="1">
      <alignment vertical="center" wrapText="1"/>
    </xf>
    <xf numFmtId="170" fontId="23" fillId="0" borderId="1" xfId="0" applyNumberFormat="1" applyFont="1" applyBorder="1" applyAlignment="1">
      <alignment horizontal="center" vertical="center" wrapText="1"/>
    </xf>
    <xf numFmtId="164" fontId="23" fillId="0" borderId="1" xfId="0" applyNumberFormat="1" applyFont="1" applyBorder="1" applyAlignment="1">
      <alignment horizontal="center" vertical="center" wrapText="1"/>
    </xf>
    <xf numFmtId="0" fontId="23" fillId="0" borderId="1" xfId="0" applyFont="1" applyBorder="1" applyAlignment="1">
      <alignment horizontal="center" vertical="center" wrapText="1"/>
    </xf>
    <xf numFmtId="0" fontId="23" fillId="0" borderId="1" xfId="0" applyFont="1" applyBorder="1" applyAlignment="1">
      <alignment horizontal="right" vertical="center" wrapText="1"/>
    </xf>
    <xf numFmtId="170" fontId="23" fillId="0" borderId="1" xfId="183" applyNumberFormat="1" applyFont="1" applyBorder="1" applyAlignment="1">
      <alignment horizontal="center" vertical="center" wrapText="1"/>
    </xf>
    <xf numFmtId="164" fontId="23" fillId="0" borderId="1" xfId="183" applyNumberFormat="1" applyFont="1" applyBorder="1" applyAlignment="1">
      <alignment horizontal="center" vertical="center" wrapText="1"/>
    </xf>
    <xf numFmtId="0" fontId="23" fillId="2" borderId="1" xfId="0" applyFont="1" applyFill="1" applyBorder="1" applyAlignment="1">
      <alignment horizontal="left" vertical="center" wrapText="1" indent="1"/>
    </xf>
    <xf numFmtId="170" fontId="23" fillId="2" borderId="1" xfId="183" applyNumberFormat="1" applyFont="1" applyFill="1" applyBorder="1" applyAlignment="1">
      <alignment horizontal="right" vertical="center" wrapText="1" indent="1"/>
    </xf>
    <xf numFmtId="164" fontId="25" fillId="2" borderId="1" xfId="183" applyNumberFormat="1" applyFont="1" applyFill="1" applyBorder="1" applyAlignment="1">
      <alignment horizontal="right" vertical="center" wrapText="1" indent="1"/>
    </xf>
    <xf numFmtId="167" fontId="23" fillId="2" borderId="1" xfId="183" applyNumberFormat="1" applyFont="1" applyFill="1" applyBorder="1" applyAlignment="1">
      <alignment horizontal="right" vertical="center" wrapText="1" indent="1"/>
    </xf>
    <xf numFmtId="164" fontId="23" fillId="2" borderId="1" xfId="183" applyNumberFormat="1" applyFont="1" applyFill="1" applyBorder="1" applyAlignment="1">
      <alignment horizontal="right" vertical="center" wrapText="1" indent="1"/>
    </xf>
    <xf numFmtId="167" fontId="23" fillId="2" borderId="1" xfId="183" applyNumberFormat="1" applyFont="1" applyFill="1" applyBorder="1" applyAlignment="1">
      <alignment vertical="center" wrapText="1"/>
    </xf>
    <xf numFmtId="0" fontId="24" fillId="0" borderId="1" xfId="0" applyFont="1" applyBorder="1" applyAlignment="1">
      <alignment horizontal="left" vertical="center" wrapText="1" indent="1"/>
    </xf>
    <xf numFmtId="170" fontId="24" fillId="0" borderId="1" xfId="183" applyNumberFormat="1" applyFont="1" applyBorder="1" applyAlignment="1">
      <alignment horizontal="right" vertical="center" wrapText="1" indent="1"/>
    </xf>
    <xf numFmtId="164" fontId="26" fillId="0" borderId="1" xfId="2" applyNumberFormat="1" applyFont="1" applyBorder="1" applyAlignment="1">
      <alignment horizontal="right" vertical="center" wrapText="1" indent="1"/>
    </xf>
    <xf numFmtId="167" fontId="24" fillId="0" borderId="1" xfId="183" applyNumberFormat="1" applyFont="1" applyBorder="1" applyAlignment="1">
      <alignment horizontal="right" vertical="center" wrapText="1" indent="1"/>
    </xf>
    <xf numFmtId="164" fontId="24" fillId="0" borderId="1" xfId="2" applyNumberFormat="1" applyFont="1" applyBorder="1" applyAlignment="1">
      <alignment horizontal="right" vertical="center" wrapText="1" indent="1"/>
    </xf>
    <xf numFmtId="164" fontId="26" fillId="0" borderId="1" xfId="2" applyNumberFormat="1" applyFont="1" applyFill="1" applyBorder="1" applyAlignment="1">
      <alignment horizontal="right" vertical="center" wrapText="1" indent="1"/>
    </xf>
    <xf numFmtId="164" fontId="24" fillId="0" borderId="1" xfId="2" applyNumberFormat="1" applyFont="1" applyFill="1" applyBorder="1" applyAlignment="1">
      <alignment horizontal="right" vertical="center" wrapText="1" indent="1"/>
    </xf>
    <xf numFmtId="4" fontId="27" fillId="0" borderId="0" xfId="0" applyNumberFormat="1" applyFont="1"/>
    <xf numFmtId="164" fontId="25" fillId="0" borderId="1" xfId="2" applyNumberFormat="1" applyFont="1" applyBorder="1" applyAlignment="1">
      <alignment horizontal="right" vertical="center" wrapText="1" indent="1"/>
    </xf>
    <xf numFmtId="167" fontId="23" fillId="0" borderId="1" xfId="183" applyNumberFormat="1" applyFont="1" applyBorder="1" applyAlignment="1">
      <alignment horizontal="right" vertical="center" wrapText="1" indent="1"/>
    </xf>
    <xf numFmtId="164" fontId="23" fillId="0" borderId="1" xfId="2" applyNumberFormat="1" applyFont="1" applyBorder="1" applyAlignment="1">
      <alignment horizontal="right" vertical="center" wrapText="1" indent="1"/>
    </xf>
    <xf numFmtId="167" fontId="24" fillId="0" borderId="1" xfId="183" applyNumberFormat="1" applyFont="1" applyFill="1" applyBorder="1" applyAlignment="1">
      <alignment horizontal="right" vertical="center" wrapText="1" indent="1"/>
    </xf>
    <xf numFmtId="170" fontId="24" fillId="0" borderId="1" xfId="183" applyNumberFormat="1" applyFont="1" applyFill="1" applyBorder="1" applyAlignment="1">
      <alignment horizontal="right" vertical="center" wrapText="1" indent="1"/>
    </xf>
    <xf numFmtId="0" fontId="24" fillId="0" borderId="1" xfId="0" applyFont="1" applyFill="1" applyBorder="1" applyAlignment="1">
      <alignment horizontal="left" vertical="center" wrapText="1" indent="1"/>
    </xf>
    <xf numFmtId="3" fontId="23" fillId="2" borderId="1" xfId="183" applyNumberFormat="1" applyFont="1" applyFill="1" applyBorder="1" applyAlignment="1">
      <alignment horizontal="right" vertical="center" wrapText="1" indent="1"/>
    </xf>
    <xf numFmtId="164" fontId="26" fillId="0" borderId="1" xfId="0" applyNumberFormat="1" applyFont="1" applyBorder="1" applyAlignment="1">
      <alignment horizontal="right" vertical="center" wrapText="1" indent="1"/>
    </xf>
    <xf numFmtId="164" fontId="24" fillId="0" borderId="1" xfId="0" applyNumberFormat="1" applyFont="1" applyBorder="1" applyAlignment="1">
      <alignment horizontal="right" vertical="center" wrapText="1" indent="1"/>
    </xf>
    <xf numFmtId="170" fontId="28" fillId="0" borderId="1" xfId="183" applyNumberFormat="1" applyFont="1" applyBorder="1" applyAlignment="1">
      <alignment horizontal="right" vertical="center" wrapText="1" indent="1"/>
    </xf>
    <xf numFmtId="164" fontId="28" fillId="0" borderId="1" xfId="2" applyNumberFormat="1" applyFont="1" applyBorder="1" applyAlignment="1">
      <alignment horizontal="right" vertical="center" wrapText="1" indent="1"/>
    </xf>
    <xf numFmtId="0" fontId="29" fillId="0" borderId="1" xfId="0" applyFont="1" applyBorder="1" applyAlignment="1">
      <alignment horizontal="left" vertical="center" wrapText="1" indent="1"/>
    </xf>
    <xf numFmtId="170" fontId="29" fillId="0" borderId="1" xfId="183" applyNumberFormat="1" applyFont="1" applyBorder="1" applyAlignment="1">
      <alignment horizontal="right" vertical="center" wrapText="1" indent="1"/>
    </xf>
    <xf numFmtId="164" fontId="30" fillId="0" borderId="1" xfId="2" applyNumberFormat="1" applyFont="1" applyBorder="1" applyAlignment="1">
      <alignment horizontal="right" vertical="center" wrapText="1" indent="1"/>
    </xf>
    <xf numFmtId="164" fontId="29" fillId="0" borderId="1" xfId="2" applyNumberFormat="1" applyFont="1" applyBorder="1" applyAlignment="1">
      <alignment horizontal="right" vertical="center" wrapText="1" indent="1"/>
    </xf>
    <xf numFmtId="170" fontId="25" fillId="2" borderId="1" xfId="183" applyNumberFormat="1" applyFont="1" applyFill="1" applyBorder="1" applyAlignment="1">
      <alignment horizontal="right" vertical="center" wrapText="1" indent="1"/>
    </xf>
    <xf numFmtId="164" fontId="25" fillId="2" borderId="1" xfId="2" applyNumberFormat="1" applyFont="1" applyFill="1" applyBorder="1" applyAlignment="1">
      <alignment horizontal="right" vertical="center" wrapText="1" indent="1"/>
    </xf>
    <xf numFmtId="0" fontId="23" fillId="0" borderId="0" xfId="0" applyFont="1" applyAlignment="1">
      <alignment horizontal="left" vertical="center" wrapText="1" indent="1"/>
    </xf>
    <xf numFmtId="0" fontId="23" fillId="0" borderId="1" xfId="0" applyFont="1" applyBorder="1" applyAlignment="1">
      <alignment horizontal="left" vertical="center" wrapText="1" indent="1"/>
    </xf>
    <xf numFmtId="170" fontId="23" fillId="0" borderId="1" xfId="2" applyNumberFormat="1" applyFont="1" applyBorder="1" applyAlignment="1">
      <alignment horizontal="right" vertical="center" wrapText="1" indent="1"/>
    </xf>
    <xf numFmtId="3" fontId="23" fillId="0" borderId="1" xfId="2" applyNumberFormat="1" applyFont="1" applyBorder="1" applyAlignment="1">
      <alignment horizontal="right" vertical="center" wrapText="1" indent="1"/>
    </xf>
    <xf numFmtId="0" fontId="23" fillId="0" borderId="0" xfId="0" applyFont="1" applyBorder="1" applyAlignment="1">
      <alignment horizontal="left" vertical="center" wrapText="1" indent="1"/>
    </xf>
    <xf numFmtId="170" fontId="23" fillId="0" borderId="0" xfId="2" applyNumberFormat="1" applyFont="1" applyBorder="1" applyAlignment="1">
      <alignment horizontal="right" vertical="center" wrapText="1" indent="1"/>
    </xf>
    <xf numFmtId="173" fontId="23" fillId="0" borderId="0" xfId="2" applyNumberFormat="1" applyFont="1" applyBorder="1" applyAlignment="1">
      <alignment horizontal="right" vertical="center" wrapText="1" indent="1"/>
    </xf>
    <xf numFmtId="3" fontId="23" fillId="0" borderId="0" xfId="2" applyNumberFormat="1" applyFont="1" applyBorder="1" applyAlignment="1">
      <alignment horizontal="right" vertical="center" wrapText="1" indent="1"/>
    </xf>
    <xf numFmtId="164" fontId="23" fillId="0" borderId="0" xfId="2" applyNumberFormat="1" applyFont="1" applyBorder="1" applyAlignment="1">
      <alignment horizontal="right" vertical="center" wrapText="1" indent="1"/>
    </xf>
    <xf numFmtId="0" fontId="23" fillId="15" borderId="1" xfId="0" applyFont="1" applyFill="1" applyBorder="1" applyAlignment="1">
      <alignment horizontal="left" vertical="center" wrapText="1" indent="1"/>
    </xf>
    <xf numFmtId="167" fontId="23" fillId="15" borderId="1" xfId="2" applyNumberFormat="1" applyFont="1" applyFill="1" applyBorder="1" applyAlignment="1">
      <alignment horizontal="right" vertical="center" wrapText="1" indent="1"/>
    </xf>
    <xf numFmtId="164" fontId="23" fillId="15" borderId="1" xfId="2" applyNumberFormat="1" applyFont="1" applyFill="1" applyBorder="1" applyAlignment="1">
      <alignment horizontal="right" vertical="center" wrapText="1" indent="1"/>
    </xf>
    <xf numFmtId="3" fontId="23" fillId="15" borderId="1" xfId="2" applyNumberFormat="1" applyFont="1" applyFill="1" applyBorder="1" applyAlignment="1">
      <alignment horizontal="right" vertical="center" wrapText="1" indent="1"/>
    </xf>
    <xf numFmtId="170" fontId="24" fillId="0" borderId="0" xfId="2" applyNumberFormat="1" applyFont="1" applyAlignment="1">
      <alignment horizontal="right" vertical="center" wrapText="1"/>
    </xf>
    <xf numFmtId="9" fontId="17" fillId="13" borderId="1" xfId="2" applyNumberFormat="1" applyFont="1" applyFill="1" applyBorder="1" applyAlignment="1">
      <alignment horizontal="center" vertical="center" wrapText="1"/>
    </xf>
    <xf numFmtId="165" fontId="31" fillId="0" borderId="0" xfId="1" applyFont="1" applyAlignment="1">
      <alignment horizontal="right" vertical="center" wrapText="1"/>
    </xf>
    <xf numFmtId="164" fontId="31" fillId="0" borderId="0" xfId="0" applyNumberFormat="1" applyFont="1" applyAlignment="1">
      <alignment horizontal="right" vertical="center" wrapText="1"/>
    </xf>
    <xf numFmtId="9" fontId="31" fillId="0" borderId="0" xfId="2" applyFont="1" applyAlignment="1">
      <alignment horizontal="right" vertical="center" wrapText="1"/>
    </xf>
    <xf numFmtId="0" fontId="31" fillId="0" borderId="0" xfId="0" applyFont="1" applyAlignment="1">
      <alignment horizontal="right" vertical="center" wrapText="1"/>
    </xf>
    <xf numFmtId="165" fontId="32" fillId="0" borderId="1" xfId="1" applyFont="1" applyBorder="1" applyAlignment="1">
      <alignment horizontal="center" vertical="center" wrapText="1"/>
    </xf>
    <xf numFmtId="164" fontId="32" fillId="0" borderId="1" xfId="0" applyNumberFormat="1" applyFont="1" applyBorder="1" applyAlignment="1">
      <alignment horizontal="center" vertical="center" wrapText="1"/>
    </xf>
    <xf numFmtId="166" fontId="32" fillId="0" borderId="1" xfId="0" applyNumberFormat="1" applyFont="1" applyBorder="1" applyAlignment="1">
      <alignment horizontal="center" vertical="center" wrapText="1"/>
    </xf>
    <xf numFmtId="167" fontId="32" fillId="2" borderId="1" xfId="1" applyNumberFormat="1" applyFont="1" applyFill="1" applyBorder="1" applyAlignment="1">
      <alignment horizontal="right" vertical="center" wrapText="1" indent="1"/>
    </xf>
    <xf numFmtId="164" fontId="32" fillId="2" borderId="1" xfId="2" applyNumberFormat="1" applyFont="1" applyFill="1" applyBorder="1" applyAlignment="1">
      <alignment horizontal="right" vertical="center" wrapText="1" indent="1"/>
    </xf>
    <xf numFmtId="3" fontId="32" fillId="2" borderId="1" xfId="1" applyNumberFormat="1" applyFont="1" applyFill="1" applyBorder="1" applyAlignment="1">
      <alignment horizontal="right" vertical="center" wrapText="1" indent="1"/>
    </xf>
    <xf numFmtId="164" fontId="32" fillId="2" borderId="1" xfId="1" applyNumberFormat="1" applyFont="1" applyFill="1" applyBorder="1" applyAlignment="1">
      <alignment horizontal="right" vertical="center" wrapText="1" indent="1"/>
    </xf>
    <xf numFmtId="167" fontId="31" fillId="0" borderId="1" xfId="1" applyNumberFormat="1" applyFont="1" applyBorder="1" applyAlignment="1">
      <alignment horizontal="right" vertical="center" wrapText="1" indent="1"/>
    </xf>
    <xf numFmtId="164" fontId="31" fillId="0" borderId="1" xfId="2" applyNumberFormat="1" applyFont="1" applyBorder="1" applyAlignment="1">
      <alignment horizontal="right" vertical="center" wrapText="1" indent="1"/>
    </xf>
    <xf numFmtId="3" fontId="31" fillId="0" borderId="1" xfId="1" applyNumberFormat="1" applyFont="1" applyBorder="1" applyAlignment="1">
      <alignment horizontal="right" vertical="center" wrapText="1" indent="1"/>
    </xf>
    <xf numFmtId="164" fontId="31" fillId="0" borderId="1" xfId="2" applyNumberFormat="1" applyFont="1" applyFill="1" applyBorder="1" applyAlignment="1">
      <alignment horizontal="right" vertical="center" wrapText="1" indent="1"/>
    </xf>
    <xf numFmtId="167" fontId="32" fillId="0" borderId="1" xfId="1" applyNumberFormat="1" applyFont="1" applyBorder="1" applyAlignment="1">
      <alignment horizontal="right" vertical="center" wrapText="1" indent="1"/>
    </xf>
    <xf numFmtId="164" fontId="32" fillId="0" borderId="1" xfId="2" applyNumberFormat="1" applyFont="1" applyBorder="1" applyAlignment="1">
      <alignment horizontal="right" vertical="center" wrapText="1" indent="1"/>
    </xf>
    <xf numFmtId="167" fontId="31" fillId="0" borderId="1" xfId="1" applyNumberFormat="1" applyFont="1" applyFill="1" applyBorder="1" applyAlignment="1">
      <alignment horizontal="right" vertical="center" wrapText="1" indent="1"/>
    </xf>
    <xf numFmtId="4" fontId="33" fillId="0" borderId="1" xfId="0" applyNumberFormat="1" applyFont="1" applyBorder="1"/>
    <xf numFmtId="4" fontId="34" fillId="0" borderId="1" xfId="0" applyNumberFormat="1" applyFont="1" applyFill="1" applyBorder="1"/>
    <xf numFmtId="3" fontId="31" fillId="0" borderId="1" xfId="1" applyNumberFormat="1" applyFont="1" applyFill="1" applyBorder="1" applyAlignment="1">
      <alignment horizontal="right" vertical="center" wrapText="1" indent="1"/>
    </xf>
    <xf numFmtId="4" fontId="33" fillId="0" borderId="1" xfId="0" applyNumberFormat="1" applyFont="1" applyFill="1" applyBorder="1"/>
    <xf numFmtId="164" fontId="31" fillId="0" borderId="1" xfId="0" applyNumberFormat="1" applyFont="1" applyBorder="1" applyAlignment="1">
      <alignment horizontal="right" vertical="center" wrapText="1" indent="1"/>
    </xf>
    <xf numFmtId="3" fontId="35" fillId="0" borderId="1" xfId="1" applyNumberFormat="1" applyFont="1" applyBorder="1" applyAlignment="1">
      <alignment horizontal="right" vertical="center" wrapText="1" indent="1"/>
    </xf>
    <xf numFmtId="164" fontId="35" fillId="0" borderId="1" xfId="2" applyNumberFormat="1" applyFont="1" applyBorder="1" applyAlignment="1">
      <alignment horizontal="right" vertical="center" wrapText="1" indent="1"/>
    </xf>
    <xf numFmtId="3" fontId="32" fillId="0" borderId="1" xfId="2" applyNumberFormat="1" applyFont="1" applyBorder="1" applyAlignment="1">
      <alignment horizontal="right" vertical="center" wrapText="1" indent="1"/>
    </xf>
    <xf numFmtId="10" fontId="31" fillId="0" borderId="0" xfId="2" applyNumberFormat="1" applyFont="1" applyAlignment="1">
      <alignment horizontal="right" vertical="center" wrapText="1"/>
    </xf>
    <xf numFmtId="169" fontId="31" fillId="0" borderId="0" xfId="1" applyNumberFormat="1" applyFont="1" applyAlignment="1">
      <alignment horizontal="right" vertical="center" wrapText="1"/>
    </xf>
    <xf numFmtId="170" fontId="36" fillId="0" borderId="0" xfId="183" applyNumberFormat="1" applyFont="1" applyAlignment="1">
      <alignment horizontal="right" vertical="center" wrapText="1"/>
    </xf>
    <xf numFmtId="164" fontId="36" fillId="0" borderId="0" xfId="183" applyNumberFormat="1" applyFont="1" applyAlignment="1">
      <alignment horizontal="right" vertical="center" wrapText="1"/>
    </xf>
    <xf numFmtId="164" fontId="36" fillId="0" borderId="0" xfId="183" applyFont="1" applyAlignment="1">
      <alignment horizontal="right" vertical="center" wrapText="1"/>
    </xf>
    <xf numFmtId="170" fontId="37" fillId="15" borderId="0" xfId="183" applyNumberFormat="1" applyFont="1" applyFill="1" applyAlignment="1">
      <alignment horizontal="left" vertical="center"/>
    </xf>
    <xf numFmtId="164" fontId="37" fillId="15" borderId="0" xfId="183" applyNumberFormat="1" applyFont="1" applyFill="1" applyAlignment="1">
      <alignment horizontal="right" vertical="center" wrapText="1"/>
    </xf>
    <xf numFmtId="164" fontId="37" fillId="15" borderId="0" xfId="183" applyFont="1" applyFill="1" applyAlignment="1">
      <alignment horizontal="right" vertical="center" wrapText="1"/>
    </xf>
    <xf numFmtId="170" fontId="37" fillId="0" borderId="1" xfId="0" applyNumberFormat="1" applyFont="1" applyBorder="1" applyAlignment="1">
      <alignment horizontal="center" vertical="center" wrapText="1"/>
    </xf>
    <xf numFmtId="164" fontId="37" fillId="0" borderId="1" xfId="0" applyNumberFormat="1" applyFont="1" applyBorder="1" applyAlignment="1">
      <alignment horizontal="center" vertical="center" wrapText="1"/>
    </xf>
    <xf numFmtId="0" fontId="37" fillId="0" borderId="1" xfId="0" applyFont="1" applyBorder="1" applyAlignment="1">
      <alignment horizontal="center" vertical="center" wrapText="1"/>
    </xf>
    <xf numFmtId="170" fontId="37" fillId="0" borderId="1" xfId="183" applyNumberFormat="1" applyFont="1" applyBorder="1" applyAlignment="1">
      <alignment horizontal="center" vertical="center" wrapText="1"/>
    </xf>
    <xf numFmtId="164" fontId="37" fillId="0" borderId="1" xfId="183" applyNumberFormat="1" applyFont="1" applyBorder="1" applyAlignment="1">
      <alignment horizontal="center" vertical="center" wrapText="1"/>
    </xf>
    <xf numFmtId="167" fontId="38" fillId="0" borderId="1" xfId="183" applyNumberFormat="1" applyFont="1" applyBorder="1" applyAlignment="1">
      <alignment horizontal="right" vertical="center" wrapText="1" indent="1"/>
    </xf>
    <xf numFmtId="164" fontId="38" fillId="0" borderId="1" xfId="0" applyNumberFormat="1" applyFont="1" applyBorder="1" applyAlignment="1">
      <alignment horizontal="right" vertical="center" wrapText="1" indent="1"/>
    </xf>
    <xf numFmtId="167" fontId="39" fillId="0" borderId="1" xfId="183" applyNumberFormat="1" applyFont="1" applyBorder="1" applyAlignment="1">
      <alignment horizontal="right" vertical="center" wrapText="1" indent="1"/>
    </xf>
    <xf numFmtId="164" fontId="38" fillId="0" borderId="1" xfId="2" applyNumberFormat="1" applyFont="1" applyBorder="1" applyAlignment="1">
      <alignment horizontal="right" vertical="center" wrapText="1" indent="1"/>
    </xf>
    <xf numFmtId="170" fontId="40" fillId="2" borderId="1" xfId="183" applyNumberFormat="1" applyFont="1" applyFill="1" applyBorder="1" applyAlignment="1">
      <alignment horizontal="right" vertical="center" wrapText="1" indent="1"/>
    </xf>
    <xf numFmtId="164" fontId="40" fillId="2" borderId="1" xfId="183" applyNumberFormat="1" applyFont="1" applyFill="1" applyBorder="1" applyAlignment="1">
      <alignment horizontal="right" vertical="center" wrapText="1" indent="1"/>
    </xf>
    <xf numFmtId="164" fontId="38" fillId="0" borderId="1" xfId="2" applyNumberFormat="1" applyFont="1" applyFill="1" applyBorder="1" applyAlignment="1">
      <alignment horizontal="right" vertical="center" wrapText="1" indent="1"/>
    </xf>
    <xf numFmtId="170" fontId="42" fillId="0" borderId="1" xfId="183" applyNumberFormat="1" applyFont="1" applyBorder="1" applyAlignment="1">
      <alignment horizontal="right" vertical="center" wrapText="1" indent="1"/>
    </xf>
    <xf numFmtId="164" fontId="42" fillId="0" borderId="1" xfId="2" applyNumberFormat="1" applyFont="1" applyBorder="1" applyAlignment="1">
      <alignment horizontal="right" vertical="center" wrapText="1" indent="1"/>
    </xf>
    <xf numFmtId="164" fontId="40" fillId="2" borderId="1" xfId="2" applyNumberFormat="1" applyFont="1" applyFill="1" applyBorder="1" applyAlignment="1">
      <alignment horizontal="right" vertical="center" wrapText="1" indent="1"/>
    </xf>
    <xf numFmtId="170" fontId="40" fillId="0" borderId="1" xfId="2" applyNumberFormat="1" applyFont="1" applyBorder="1" applyAlignment="1">
      <alignment horizontal="right" vertical="center" wrapText="1" indent="1"/>
    </xf>
    <xf numFmtId="164" fontId="40" fillId="0" borderId="1" xfId="2" applyNumberFormat="1" applyFont="1" applyBorder="1" applyAlignment="1">
      <alignment horizontal="right" vertical="center" wrapText="1" indent="1"/>
    </xf>
    <xf numFmtId="170" fontId="37" fillId="0" borderId="0" xfId="2" applyNumberFormat="1" applyFont="1" applyBorder="1" applyAlignment="1">
      <alignment horizontal="right" vertical="center" wrapText="1" indent="1"/>
    </xf>
    <xf numFmtId="173" fontId="37" fillId="0" borderId="0" xfId="2" applyNumberFormat="1" applyFont="1" applyBorder="1" applyAlignment="1">
      <alignment horizontal="right" vertical="center" wrapText="1" indent="1"/>
    </xf>
    <xf numFmtId="3" fontId="37" fillId="0" borderId="0" xfId="2" applyNumberFormat="1" applyFont="1" applyBorder="1" applyAlignment="1">
      <alignment horizontal="right" vertical="center" wrapText="1" indent="1"/>
    </xf>
    <xf numFmtId="164" fontId="37" fillId="0" borderId="0" xfId="2" applyNumberFormat="1" applyFont="1" applyBorder="1" applyAlignment="1">
      <alignment horizontal="right" vertical="center" wrapText="1" indent="1"/>
    </xf>
    <xf numFmtId="167" fontId="37" fillId="15" borderId="1" xfId="2" applyNumberFormat="1" applyFont="1" applyFill="1" applyBorder="1" applyAlignment="1">
      <alignment horizontal="right" vertical="center" wrapText="1" indent="1"/>
    </xf>
    <xf numFmtId="164" fontId="37" fillId="15" borderId="1" xfId="2" applyNumberFormat="1" applyFont="1" applyFill="1" applyBorder="1" applyAlignment="1">
      <alignment horizontal="right" vertical="center" wrapText="1" indent="1"/>
    </xf>
    <xf numFmtId="170" fontId="36" fillId="0" borderId="0" xfId="2" applyNumberFormat="1" applyFont="1" applyAlignment="1">
      <alignment horizontal="right" vertical="center" wrapText="1"/>
    </xf>
    <xf numFmtId="0" fontId="44" fillId="0" borderId="0" xfId="0" applyFont="1" applyAlignment="1">
      <alignment vertical="center"/>
    </xf>
    <xf numFmtId="0" fontId="17" fillId="0" borderId="0" xfId="0" applyFont="1"/>
    <xf numFmtId="10" fontId="17" fillId="0" borderId="0" xfId="2" applyNumberFormat="1" applyFont="1"/>
    <xf numFmtId="0" fontId="17" fillId="0" borderId="0" xfId="0" applyFont="1" applyAlignment="1">
      <alignment vertical="center"/>
    </xf>
    <xf numFmtId="0" fontId="17" fillId="0" borderId="0" xfId="0" applyFont="1" applyAlignment="1">
      <alignment horizontal="left"/>
    </xf>
    <xf numFmtId="10" fontId="17" fillId="0" borderId="0" xfId="2" applyNumberFormat="1" applyFont="1" applyAlignment="1">
      <alignment horizontal="right"/>
    </xf>
    <xf numFmtId="0" fontId="17" fillId="0" borderId="0" xfId="0" applyFont="1" applyAlignment="1">
      <alignment horizontal="right"/>
    </xf>
    <xf numFmtId="167" fontId="17" fillId="0" borderId="0" xfId="183" applyNumberFormat="1" applyFont="1" applyAlignment="1">
      <alignment horizontal="left"/>
    </xf>
    <xf numFmtId="177" fontId="17" fillId="0" borderId="0" xfId="2" applyNumberFormat="1" applyFont="1" applyAlignment="1">
      <alignment horizontal="center"/>
    </xf>
    <xf numFmtId="0" fontId="17" fillId="0" borderId="0" xfId="0" applyFont="1" applyAlignment="1">
      <alignment horizontal="center"/>
    </xf>
    <xf numFmtId="0" fontId="17" fillId="0" borderId="0" xfId="0" applyFont="1" applyBorder="1"/>
    <xf numFmtId="0" fontId="17" fillId="9" borderId="0" xfId="0" applyFont="1" applyFill="1" applyBorder="1" applyAlignment="1">
      <alignment horizontal="center"/>
    </xf>
    <xf numFmtId="0" fontId="46" fillId="8" borderId="1" xfId="0" applyFont="1" applyFill="1" applyBorder="1" applyAlignment="1">
      <alignment horizontal="center" vertical="center" wrapText="1"/>
    </xf>
    <xf numFmtId="0" fontId="17" fillId="0" borderId="0" xfId="0" applyFont="1" applyAlignment="1"/>
    <xf numFmtId="10" fontId="17" fillId="0" borderId="0" xfId="0" applyNumberFormat="1" applyFont="1"/>
    <xf numFmtId="167" fontId="17" fillId="0" borderId="1" xfId="0" applyNumberFormat="1" applyFont="1" applyBorder="1" applyAlignment="1">
      <alignment vertical="center" wrapText="1"/>
    </xf>
    <xf numFmtId="10" fontId="17" fillId="0" borderId="1" xfId="2" applyNumberFormat="1" applyFont="1" applyBorder="1" applyAlignment="1">
      <alignment horizontal="center" vertical="center"/>
    </xf>
    <xf numFmtId="167" fontId="17" fillId="0" borderId="1" xfId="183" applyNumberFormat="1" applyFont="1" applyBorder="1" applyAlignment="1">
      <alignment horizontal="right" vertical="center"/>
    </xf>
    <xf numFmtId="9" fontId="17" fillId="10" borderId="1" xfId="2" applyNumberFormat="1" applyFont="1" applyFill="1" applyBorder="1" applyAlignment="1">
      <alignment horizontal="center" vertical="center"/>
    </xf>
    <xf numFmtId="0" fontId="17" fillId="9" borderId="0" xfId="0" applyFont="1" applyFill="1"/>
    <xf numFmtId="0" fontId="17" fillId="9" borderId="1" xfId="0" applyFont="1" applyFill="1" applyBorder="1" applyAlignment="1">
      <alignment horizontal="left" vertical="center" wrapText="1"/>
    </xf>
    <xf numFmtId="9" fontId="17" fillId="10" borderId="1" xfId="2" applyNumberFormat="1" applyFont="1" applyFill="1" applyBorder="1" applyAlignment="1">
      <alignment horizontal="center" vertical="center" wrapText="1"/>
    </xf>
    <xf numFmtId="167" fontId="17" fillId="9" borderId="1" xfId="184" applyNumberFormat="1" applyFont="1" applyFill="1" applyBorder="1" applyAlignment="1">
      <alignment vertical="center" wrapText="1"/>
    </xf>
    <xf numFmtId="9" fontId="17" fillId="10" borderId="1" xfId="184" applyNumberFormat="1" applyFont="1" applyFill="1" applyBorder="1" applyAlignment="1">
      <alignment horizontal="center" vertical="center" wrapText="1"/>
    </xf>
    <xf numFmtId="0" fontId="17" fillId="9" borderId="14" xfId="184" applyFont="1" applyFill="1" applyBorder="1"/>
    <xf numFmtId="0" fontId="17" fillId="0" borderId="0" xfId="0" applyFont="1" applyFill="1"/>
    <xf numFmtId="9" fontId="17" fillId="0" borderId="1" xfId="2" applyFont="1" applyBorder="1" applyAlignment="1">
      <alignment horizontal="center" vertical="center" wrapText="1"/>
    </xf>
    <xf numFmtId="177" fontId="17" fillId="10" borderId="1" xfId="2" applyNumberFormat="1" applyFont="1" applyFill="1" applyBorder="1" applyAlignment="1">
      <alignment horizontal="center" vertical="center" wrapText="1"/>
    </xf>
    <xf numFmtId="9" fontId="17" fillId="6" borderId="1" xfId="182" applyNumberFormat="1" applyFont="1" applyBorder="1" applyAlignment="1">
      <alignment horizontal="center" vertical="center" wrapText="1"/>
    </xf>
    <xf numFmtId="0" fontId="17" fillId="0" borderId="0" xfId="0" applyFont="1" applyBorder="1" applyAlignment="1">
      <alignment wrapText="1"/>
    </xf>
    <xf numFmtId="0" fontId="44" fillId="9" borderId="1" xfId="0" applyFont="1" applyFill="1" applyBorder="1" applyAlignment="1">
      <alignment horizontal="left" vertical="center" wrapText="1"/>
    </xf>
    <xf numFmtId="3" fontId="44" fillId="9" borderId="1" xfId="0" applyNumberFormat="1" applyFont="1" applyFill="1" applyBorder="1" applyAlignment="1">
      <alignment horizontal="right" vertical="center"/>
    </xf>
    <xf numFmtId="10" fontId="44" fillId="0" borderId="1" xfId="2" applyNumberFormat="1" applyFont="1" applyBorder="1" applyAlignment="1">
      <alignment horizontal="center" vertical="center" wrapText="1"/>
    </xf>
    <xf numFmtId="0" fontId="44" fillId="0" borderId="1" xfId="0" applyFont="1" applyBorder="1" applyAlignment="1">
      <alignment vertical="center" wrapText="1"/>
    </xf>
    <xf numFmtId="0" fontId="44" fillId="0" borderId="1" xfId="0" applyFont="1" applyBorder="1" applyAlignment="1">
      <alignment horizontal="left"/>
    </xf>
    <xf numFmtId="10" fontId="44" fillId="9" borderId="1" xfId="2" applyNumberFormat="1" applyFont="1" applyFill="1" applyBorder="1" applyAlignment="1">
      <alignment horizontal="right" vertical="center"/>
    </xf>
    <xf numFmtId="0" fontId="44" fillId="0" borderId="1" xfId="0" applyFont="1" applyBorder="1" applyAlignment="1">
      <alignment horizontal="left" vertical="center" wrapText="1"/>
    </xf>
    <xf numFmtId="0" fontId="44" fillId="0" borderId="1" xfId="0" applyFont="1" applyBorder="1" applyAlignment="1">
      <alignment horizontal="center"/>
    </xf>
    <xf numFmtId="10" fontId="44" fillId="0" borderId="1" xfId="2" applyNumberFormat="1" applyFont="1" applyBorder="1" applyAlignment="1">
      <alignment horizontal="center" vertical="center"/>
    </xf>
    <xf numFmtId="0" fontId="17" fillId="0" borderId="1" xfId="210" applyFont="1" applyBorder="1" applyAlignment="1">
      <alignment horizontal="justify" vertical="center" wrapText="1"/>
    </xf>
    <xf numFmtId="0" fontId="17" fillId="0" borderId="1" xfId="210" applyFont="1" applyFill="1" applyBorder="1" applyAlignment="1">
      <alignment horizontal="justify" vertical="center" wrapText="1"/>
    </xf>
    <xf numFmtId="0" fontId="17" fillId="0" borderId="5" xfId="210" applyFont="1" applyFill="1" applyBorder="1" applyAlignment="1">
      <alignment horizontal="justify" vertical="center" wrapText="1"/>
    </xf>
    <xf numFmtId="0" fontId="17" fillId="0" borderId="10" xfId="210" applyFont="1" applyFill="1" applyBorder="1" applyAlignment="1">
      <alignment horizontal="justify" vertical="center" wrapText="1"/>
    </xf>
    <xf numFmtId="0" fontId="49" fillId="0" borderId="6" xfId="0" applyFont="1" applyFill="1" applyBorder="1" applyAlignment="1">
      <alignment wrapText="1"/>
    </xf>
    <xf numFmtId="0" fontId="49" fillId="0" borderId="1" xfId="0" applyFont="1" applyFill="1" applyBorder="1" applyAlignment="1">
      <alignment wrapText="1"/>
    </xf>
    <xf numFmtId="0" fontId="49" fillId="0" borderId="1" xfId="0" applyFont="1" applyFill="1" applyBorder="1" applyAlignment="1">
      <alignment vertical="center" wrapText="1"/>
    </xf>
    <xf numFmtId="0" fontId="49" fillId="0" borderId="1" xfId="0" applyFont="1" applyFill="1" applyBorder="1" applyAlignment="1">
      <alignment horizontal="left" vertical="center" wrapText="1"/>
    </xf>
    <xf numFmtId="0" fontId="49" fillId="9" borderId="1" xfId="0" applyFont="1" applyFill="1" applyBorder="1" applyAlignment="1">
      <alignment horizontal="left" vertical="center" wrapText="1"/>
    </xf>
    <xf numFmtId="167" fontId="17" fillId="0" borderId="1" xfId="0" applyNumberFormat="1" applyFont="1" applyBorder="1" applyAlignment="1">
      <alignment horizontal="right" vertical="center" wrapText="1"/>
    </xf>
    <xf numFmtId="167" fontId="17" fillId="12" borderId="1" xfId="0" applyNumberFormat="1" applyFont="1" applyFill="1" applyBorder="1" applyAlignment="1">
      <alignment horizontal="right" vertical="center" wrapText="1"/>
    </xf>
    <xf numFmtId="167" fontId="17" fillId="14" borderId="1" xfId="0" applyNumberFormat="1" applyFont="1" applyFill="1" applyBorder="1" applyAlignment="1">
      <alignment horizontal="right" vertical="center" wrapText="1"/>
    </xf>
    <xf numFmtId="167" fontId="44" fillId="12" borderId="1" xfId="0" applyNumberFormat="1" applyFont="1" applyFill="1" applyBorder="1" applyAlignment="1">
      <alignment horizontal="right" vertical="center" wrapText="1"/>
    </xf>
    <xf numFmtId="3" fontId="49" fillId="0" borderId="1" xfId="0" applyNumberFormat="1" applyFont="1" applyBorder="1" applyAlignment="1">
      <alignment horizontal="right" vertical="center" wrapText="1"/>
    </xf>
    <xf numFmtId="0" fontId="49" fillId="0" borderId="1" xfId="0" applyFont="1" applyBorder="1" applyAlignment="1">
      <alignment horizontal="justify" vertical="center"/>
    </xf>
    <xf numFmtId="3" fontId="49" fillId="0" borderId="1" xfId="0" applyNumberFormat="1" applyFont="1" applyBorder="1" applyAlignment="1">
      <alignment vertical="center" wrapText="1"/>
    </xf>
    <xf numFmtId="10" fontId="44" fillId="0" borderId="1" xfId="2" applyNumberFormat="1" applyFont="1" applyBorder="1" applyAlignment="1">
      <alignment horizontal="right" vertical="center" wrapText="1"/>
    </xf>
    <xf numFmtId="0" fontId="17" fillId="9" borderId="1" xfId="0" applyFont="1" applyFill="1" applyBorder="1" applyAlignment="1">
      <alignment vertical="center" wrapText="1"/>
    </xf>
    <xf numFmtId="0" fontId="17" fillId="0" borderId="1" xfId="0" applyFont="1" applyBorder="1" applyAlignment="1"/>
    <xf numFmtId="0" fontId="48" fillId="0" borderId="5" xfId="215" applyFont="1" applyFill="1" applyBorder="1" applyAlignment="1">
      <alignment vertical="center" wrapText="1"/>
    </xf>
    <xf numFmtId="167" fontId="45" fillId="7" borderId="1" xfId="2" applyNumberFormat="1" applyFont="1" applyFill="1" applyBorder="1" applyAlignment="1">
      <alignment horizontal="center" vertical="center" wrapText="1"/>
    </xf>
    <xf numFmtId="10" fontId="45" fillId="7" borderId="1" xfId="2" applyNumberFormat="1" applyFont="1" applyFill="1" applyBorder="1" applyAlignment="1">
      <alignment horizontal="center" vertical="center" wrapText="1"/>
    </xf>
    <xf numFmtId="0" fontId="46" fillId="8" borderId="1" xfId="0" applyFont="1" applyFill="1" applyBorder="1" applyAlignment="1">
      <alignment horizontal="left" vertical="center" wrapText="1"/>
    </xf>
    <xf numFmtId="9" fontId="45" fillId="7" borderId="1" xfId="2" applyNumberFormat="1" applyFont="1" applyFill="1" applyBorder="1" applyAlignment="1">
      <alignment horizontal="center" vertical="center" wrapText="1"/>
    </xf>
    <xf numFmtId="167" fontId="45" fillId="7" borderId="1" xfId="2" applyNumberFormat="1" applyFont="1" applyFill="1" applyBorder="1" applyAlignment="1">
      <alignment horizontal="right" vertical="center" wrapText="1"/>
    </xf>
    <xf numFmtId="10" fontId="46" fillId="8" borderId="1" xfId="0" applyNumberFormat="1" applyFont="1" applyFill="1" applyBorder="1" applyAlignment="1">
      <alignment horizontal="center" vertical="center" wrapText="1"/>
    </xf>
    <xf numFmtId="0" fontId="17" fillId="0" borderId="0" xfId="0" applyFont="1" applyBorder="1" applyAlignment="1">
      <alignment vertical="center"/>
    </xf>
    <xf numFmtId="0" fontId="17" fillId="0" borderId="0" xfId="0" applyFont="1" applyAlignment="1">
      <alignment horizontal="center" vertical="center"/>
    </xf>
    <xf numFmtId="164" fontId="52" fillId="0" borderId="1" xfId="2" applyNumberFormat="1" applyFont="1" applyBorder="1" applyAlignment="1">
      <alignment horizontal="right" vertical="center" wrapText="1" indent="1"/>
    </xf>
    <xf numFmtId="0" fontId="17" fillId="0" borderId="1" xfId="0" applyFont="1" applyBorder="1" applyAlignment="1">
      <alignment vertical="center" wrapText="1"/>
    </xf>
    <xf numFmtId="9" fontId="17" fillId="0" borderId="1" xfId="0" applyNumberFormat="1" applyFont="1" applyBorder="1" applyAlignment="1">
      <alignment horizontal="center" vertical="center" wrapText="1"/>
    </xf>
    <xf numFmtId="167" fontId="17" fillId="9" borderId="1" xfId="0" applyNumberFormat="1" applyFont="1" applyFill="1" applyBorder="1" applyAlignment="1">
      <alignment horizontal="right" vertical="center"/>
    </xf>
    <xf numFmtId="10" fontId="17" fillId="9" borderId="1" xfId="2" applyNumberFormat="1" applyFont="1" applyFill="1" applyBorder="1" applyAlignment="1">
      <alignment horizontal="right" vertical="center"/>
    </xf>
    <xf numFmtId="167" fontId="17" fillId="0" borderId="1" xfId="0" applyNumberFormat="1" applyFont="1" applyBorder="1" applyAlignment="1">
      <alignment horizontal="center" vertical="center" wrapText="1"/>
    </xf>
    <xf numFmtId="10" fontId="17" fillId="0" borderId="1" xfId="2" applyNumberFormat="1" applyFont="1" applyBorder="1" applyAlignment="1">
      <alignment horizontal="center" vertical="center" wrapText="1"/>
    </xf>
    <xf numFmtId="0" fontId="17" fillId="0" borderId="1" xfId="0" applyFont="1" applyBorder="1" applyAlignment="1">
      <alignment horizontal="left" vertical="center" wrapText="1"/>
    </xf>
    <xf numFmtId="167" fontId="17" fillId="0" borderId="1" xfId="183" applyNumberFormat="1" applyFont="1" applyBorder="1" applyAlignment="1">
      <alignment horizontal="right" vertical="center" wrapText="1"/>
    </xf>
    <xf numFmtId="10" fontId="17" fillId="0" borderId="1" xfId="2" applyNumberFormat="1" applyFont="1" applyBorder="1" applyAlignment="1">
      <alignment horizontal="right" vertical="center" wrapText="1"/>
    </xf>
    <xf numFmtId="167" fontId="17" fillId="9" borderId="1" xfId="0" applyNumberFormat="1" applyFont="1" applyFill="1" applyBorder="1" applyAlignment="1">
      <alignment horizontal="right" vertical="center" wrapText="1"/>
    </xf>
    <xf numFmtId="10" fontId="17" fillId="9" borderId="1" xfId="2" applyNumberFormat="1" applyFont="1" applyFill="1" applyBorder="1" applyAlignment="1">
      <alignment horizontal="right" vertical="center" wrapText="1"/>
    </xf>
    <xf numFmtId="0" fontId="17" fillId="0" borderId="1" xfId="0" applyFont="1" applyFill="1" applyBorder="1" applyAlignment="1">
      <alignment horizontal="left" vertical="center" wrapText="1"/>
    </xf>
    <xf numFmtId="167" fontId="17" fillId="0" borderId="1" xfId="183" applyNumberFormat="1" applyFont="1" applyFill="1" applyBorder="1" applyAlignment="1">
      <alignment horizontal="right" vertical="center" wrapText="1"/>
    </xf>
    <xf numFmtId="167" fontId="17" fillId="9" borderId="1" xfId="183" applyNumberFormat="1" applyFont="1" applyFill="1" applyBorder="1" applyAlignment="1">
      <alignment horizontal="right" vertical="center" wrapText="1"/>
    </xf>
    <xf numFmtId="167" fontId="17" fillId="0" borderId="1" xfId="0" applyNumberFormat="1" applyFont="1" applyBorder="1" applyAlignment="1">
      <alignment horizontal="right" vertical="center"/>
    </xf>
    <xf numFmtId="10" fontId="17" fillId="0" borderId="1" xfId="2" applyNumberFormat="1" applyFont="1" applyBorder="1" applyAlignment="1">
      <alignment horizontal="right" vertical="center"/>
    </xf>
    <xf numFmtId="0" fontId="17" fillId="9" borderId="1" xfId="184" applyFont="1" applyFill="1" applyBorder="1" applyAlignment="1">
      <alignment vertical="center" wrapText="1"/>
    </xf>
    <xf numFmtId="10" fontId="17" fillId="9" borderId="1" xfId="2" applyNumberFormat="1" applyFont="1" applyFill="1" applyBorder="1" applyAlignment="1">
      <alignment horizontal="center" vertical="center" wrapText="1"/>
    </xf>
    <xf numFmtId="0" fontId="17" fillId="9" borderId="1" xfId="184" applyFont="1" applyFill="1" applyBorder="1" applyAlignment="1">
      <alignment horizontal="left" vertical="center" wrapText="1"/>
    </xf>
    <xf numFmtId="167" fontId="17" fillId="9" borderId="1" xfId="184" applyNumberFormat="1" applyFont="1" applyFill="1" applyBorder="1" applyAlignment="1">
      <alignment horizontal="right" vertical="center" wrapText="1"/>
    </xf>
    <xf numFmtId="3" fontId="48" fillId="0" borderId="5" xfId="215" applyNumberFormat="1" applyFont="1" applyFill="1" applyBorder="1" applyAlignment="1">
      <alignment horizontal="right" vertical="center" wrapText="1"/>
    </xf>
    <xf numFmtId="10" fontId="48" fillId="0" borderId="5" xfId="2" applyNumberFormat="1" applyFont="1" applyFill="1" applyBorder="1" applyAlignment="1">
      <alignment horizontal="right" vertical="center" wrapText="1"/>
    </xf>
    <xf numFmtId="9" fontId="17" fillId="9" borderId="1" xfId="184" applyNumberFormat="1" applyFont="1" applyFill="1" applyBorder="1" applyAlignment="1">
      <alignment horizontal="center" vertical="center" wrapText="1"/>
    </xf>
    <xf numFmtId="167" fontId="17" fillId="0" borderId="1" xfId="0" applyNumberFormat="1" applyFont="1" applyFill="1" applyBorder="1" applyAlignment="1">
      <alignment horizontal="right" vertical="center"/>
    </xf>
    <xf numFmtId="3" fontId="49" fillId="0" borderId="5" xfId="0" applyNumberFormat="1" applyFont="1" applyBorder="1" applyAlignment="1">
      <alignment horizontal="right" vertical="center" wrapText="1"/>
    </xf>
    <xf numFmtId="0" fontId="49" fillId="0" borderId="1" xfId="0" applyFont="1" applyBorder="1" applyAlignment="1">
      <alignment vertical="center" wrapText="1"/>
    </xf>
    <xf numFmtId="170" fontId="38" fillId="0" borderId="1" xfId="183" applyNumberFormat="1" applyFont="1" applyBorder="1" applyAlignment="1">
      <alignment horizontal="right" vertical="center" wrapText="1" indent="1"/>
    </xf>
    <xf numFmtId="167" fontId="41" fillId="0" borderId="1" xfId="183" applyNumberFormat="1" applyFont="1" applyBorder="1" applyAlignment="1">
      <alignment horizontal="right" vertical="center" wrapText="1" indent="1"/>
    </xf>
    <xf numFmtId="167" fontId="39" fillId="0" borderId="1" xfId="183" applyNumberFormat="1" applyFont="1" applyFill="1" applyBorder="1" applyAlignment="1">
      <alignment horizontal="right" vertical="center" wrapText="1" indent="1"/>
    </xf>
    <xf numFmtId="170" fontId="38" fillId="0" borderId="1" xfId="183" applyNumberFormat="1" applyFont="1" applyFill="1" applyBorder="1" applyAlignment="1">
      <alignment horizontal="right" vertical="center" wrapText="1" indent="1"/>
    </xf>
    <xf numFmtId="9" fontId="44" fillId="0" borderId="1" xfId="0" applyNumberFormat="1" applyFont="1" applyBorder="1" applyAlignment="1">
      <alignment horizontal="center"/>
    </xf>
    <xf numFmtId="167" fontId="24" fillId="0" borderId="0" xfId="0" applyNumberFormat="1" applyFont="1" applyAlignment="1">
      <alignment vertical="center" wrapText="1"/>
    </xf>
    <xf numFmtId="170" fontId="24" fillId="0" borderId="0" xfId="0" applyNumberFormat="1" applyFont="1" applyAlignment="1">
      <alignment vertical="center" wrapText="1"/>
    </xf>
    <xf numFmtId="0" fontId="24" fillId="0" borderId="0" xfId="0" applyFont="1" applyAlignment="1">
      <alignment horizontal="right" vertical="center" wrapText="1"/>
    </xf>
    <xf numFmtId="0" fontId="23" fillId="0" borderId="0" xfId="0" applyFont="1" applyAlignment="1">
      <alignment horizontal="right" vertical="center" wrapText="1"/>
    </xf>
    <xf numFmtId="4" fontId="24" fillId="0" borderId="0" xfId="0" applyNumberFormat="1" applyFont="1" applyAlignment="1">
      <alignment horizontal="right" vertical="center" wrapText="1"/>
    </xf>
    <xf numFmtId="4" fontId="27" fillId="0" borderId="0" xfId="0" applyNumberFormat="1" applyFont="1" applyAlignment="1">
      <alignment horizontal="right"/>
    </xf>
    <xf numFmtId="181" fontId="53" fillId="0" borderId="0" xfId="0" applyNumberFormat="1" applyFont="1" applyAlignment="1">
      <alignment horizontal="right"/>
    </xf>
    <xf numFmtId="3" fontId="24" fillId="0" borderId="0" xfId="0" applyNumberFormat="1" applyFont="1" applyAlignment="1">
      <alignment horizontal="right" vertical="center" wrapText="1"/>
    </xf>
    <xf numFmtId="182" fontId="24" fillId="0" borderId="0" xfId="0" applyNumberFormat="1" applyFont="1" applyAlignment="1">
      <alignment horizontal="right" vertical="center" wrapText="1"/>
    </xf>
    <xf numFmtId="182" fontId="54" fillId="0" borderId="1" xfId="0" applyNumberFormat="1" applyFont="1" applyFill="1" applyBorder="1" applyAlignment="1">
      <alignment horizontal="right" vertical="center" wrapText="1"/>
    </xf>
    <xf numFmtId="10" fontId="24" fillId="0" borderId="0" xfId="0" applyNumberFormat="1" applyFont="1" applyAlignment="1">
      <alignment horizontal="right" vertical="center" wrapText="1"/>
    </xf>
    <xf numFmtId="0" fontId="23" fillId="0" borderId="0" xfId="0" applyFont="1" applyAlignment="1">
      <alignment horizontal="right" vertical="center" wrapText="1" indent="1"/>
    </xf>
    <xf numFmtId="165" fontId="24" fillId="0" borderId="0" xfId="1" applyFont="1" applyAlignment="1">
      <alignment horizontal="right"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165" fontId="11" fillId="0" borderId="2" xfId="1" applyFont="1" applyBorder="1" applyAlignment="1">
      <alignment horizontal="center" vertical="center" wrapText="1"/>
    </xf>
    <xf numFmtId="165" fontId="11" fillId="0" borderId="9" xfId="1" applyFont="1" applyBorder="1" applyAlignment="1">
      <alignment horizontal="center" vertical="center" wrapText="1"/>
    </xf>
    <xf numFmtId="165" fontId="11" fillId="0" borderId="3" xfId="1" applyFont="1" applyBorder="1" applyAlignment="1">
      <alignment horizontal="center" vertical="center" wrapText="1"/>
    </xf>
    <xf numFmtId="0" fontId="11" fillId="0" borderId="10"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165" fontId="11" fillId="0" borderId="10" xfId="1" applyFont="1" applyBorder="1" applyAlignment="1">
      <alignment horizontal="center" vertical="center" wrapText="1"/>
    </xf>
    <xf numFmtId="165" fontId="11" fillId="0" borderId="11" xfId="1" applyFont="1" applyBorder="1" applyAlignment="1">
      <alignment horizontal="center" vertical="center" wrapText="1"/>
    </xf>
    <xf numFmtId="165" fontId="11" fillId="0" borderId="12" xfId="1" applyFont="1" applyBorder="1" applyAlignment="1">
      <alignment horizontal="center" vertical="center" wrapText="1"/>
    </xf>
    <xf numFmtId="165" fontId="11" fillId="0" borderId="4" xfId="1" applyFont="1" applyBorder="1" applyAlignment="1">
      <alignment horizontal="center" vertical="center" wrapText="1"/>
    </xf>
    <xf numFmtId="165" fontId="11" fillId="0" borderId="13" xfId="1" applyFont="1" applyBorder="1" applyAlignment="1">
      <alignment horizontal="center" vertical="center" wrapText="1"/>
    </xf>
    <xf numFmtId="165" fontId="11" fillId="0" borderId="7" xfId="1" applyFont="1" applyBorder="1" applyAlignment="1">
      <alignment horizontal="center" vertical="center" wrapText="1"/>
    </xf>
    <xf numFmtId="165" fontId="32" fillId="0" borderId="2" xfId="1" applyFont="1" applyBorder="1" applyAlignment="1">
      <alignment horizontal="center" vertical="center" wrapText="1"/>
    </xf>
    <xf numFmtId="165" fontId="32" fillId="0" borderId="9" xfId="1" applyFont="1" applyBorder="1" applyAlignment="1">
      <alignment horizontal="center" vertical="center" wrapText="1"/>
    </xf>
    <xf numFmtId="165" fontId="32" fillId="0" borderId="3" xfId="1" applyFont="1" applyBorder="1" applyAlignment="1">
      <alignment horizontal="center" vertical="center" wrapText="1"/>
    </xf>
    <xf numFmtId="10" fontId="17" fillId="0" borderId="5" xfId="2" applyNumberFormat="1" applyFont="1" applyBorder="1" applyAlignment="1">
      <alignment horizontal="right" vertical="center" wrapText="1"/>
    </xf>
    <xf numFmtId="10" fontId="17" fillId="0" borderId="8" xfId="2" applyNumberFormat="1" applyFont="1" applyBorder="1" applyAlignment="1">
      <alignment horizontal="right" vertical="center" wrapText="1"/>
    </xf>
    <xf numFmtId="10" fontId="17" fillId="0" borderId="6" xfId="2" applyNumberFormat="1" applyFont="1" applyBorder="1" applyAlignment="1">
      <alignment horizontal="right" vertical="center" wrapText="1"/>
    </xf>
    <xf numFmtId="0" fontId="17" fillId="0" borderId="1" xfId="0" applyFont="1" applyFill="1" applyBorder="1" applyAlignment="1">
      <alignment horizontal="left" vertical="center" wrapText="1"/>
    </xf>
    <xf numFmtId="167" fontId="17" fillId="0" borderId="1" xfId="183" applyNumberFormat="1" applyFont="1" applyFill="1" applyBorder="1" applyAlignment="1">
      <alignment horizontal="right" vertical="center" wrapText="1"/>
    </xf>
    <xf numFmtId="0" fontId="45" fillId="7" borderId="2" xfId="0" applyFont="1" applyFill="1" applyBorder="1" applyAlignment="1">
      <alignment horizontal="center" vertical="top" wrapText="1"/>
    </xf>
    <xf numFmtId="0" fontId="45" fillId="7" borderId="9" xfId="0" applyFont="1" applyFill="1" applyBorder="1" applyAlignment="1">
      <alignment horizontal="center" vertical="top" wrapText="1"/>
    </xf>
    <xf numFmtId="0" fontId="45" fillId="7" borderId="3" xfId="0" applyFont="1" applyFill="1" applyBorder="1" applyAlignment="1">
      <alignment horizontal="center" vertical="top" wrapText="1"/>
    </xf>
    <xf numFmtId="3" fontId="17" fillId="0" borderId="5" xfId="210" applyNumberFormat="1" applyFont="1" applyBorder="1" applyAlignment="1">
      <alignment horizontal="right" vertical="center" wrapText="1"/>
    </xf>
    <xf numFmtId="3" fontId="17" fillId="0" borderId="8" xfId="210" applyNumberFormat="1" applyFont="1" applyBorder="1" applyAlignment="1">
      <alignment horizontal="right" vertical="center" wrapText="1"/>
    </xf>
    <xf numFmtId="3" fontId="17" fillId="0" borderId="6" xfId="210" applyNumberFormat="1" applyFont="1" applyBorder="1" applyAlignment="1">
      <alignment horizontal="right" vertical="center" wrapText="1"/>
    </xf>
    <xf numFmtId="10" fontId="17" fillId="9" borderId="5" xfId="2" applyNumberFormat="1" applyFont="1" applyFill="1" applyBorder="1" applyAlignment="1">
      <alignment horizontal="right" vertical="center" wrapText="1"/>
    </xf>
    <xf numFmtId="10" fontId="17" fillId="9" borderId="8" xfId="2" applyNumberFormat="1" applyFont="1" applyFill="1" applyBorder="1" applyAlignment="1">
      <alignment horizontal="right" vertical="center" wrapText="1"/>
    </xf>
    <xf numFmtId="10" fontId="17" fillId="9" borderId="6" xfId="2" applyNumberFormat="1" applyFont="1" applyFill="1" applyBorder="1" applyAlignment="1">
      <alignment horizontal="right" vertical="center" wrapText="1"/>
    </xf>
    <xf numFmtId="10" fontId="17" fillId="0" borderId="5" xfId="2" applyNumberFormat="1" applyFont="1" applyFill="1" applyBorder="1" applyAlignment="1">
      <alignment horizontal="right" vertical="center" wrapText="1"/>
    </xf>
    <xf numFmtId="10" fontId="17" fillId="0" borderId="8" xfId="2" applyNumberFormat="1" applyFont="1" applyFill="1" applyBorder="1" applyAlignment="1">
      <alignment horizontal="right" vertical="center" wrapText="1"/>
    </xf>
    <xf numFmtId="10" fontId="17" fillId="0" borderId="6" xfId="2" applyNumberFormat="1" applyFont="1" applyFill="1" applyBorder="1" applyAlignment="1">
      <alignment horizontal="right" vertical="center" wrapText="1"/>
    </xf>
    <xf numFmtId="10" fontId="17" fillId="0" borderId="5" xfId="2" applyNumberFormat="1" applyFont="1" applyBorder="1" applyAlignment="1">
      <alignment horizontal="right" vertical="center"/>
    </xf>
    <xf numFmtId="10" fontId="17" fillId="0" borderId="8" xfId="2" applyNumberFormat="1" applyFont="1" applyBorder="1" applyAlignment="1">
      <alignment horizontal="right" vertical="center"/>
    </xf>
    <xf numFmtId="10" fontId="17" fillId="0" borderId="6" xfId="2" applyNumberFormat="1" applyFont="1" applyBorder="1" applyAlignment="1">
      <alignment horizontal="right" vertical="center"/>
    </xf>
    <xf numFmtId="0" fontId="44" fillId="0" borderId="5" xfId="210" applyFont="1" applyBorder="1" applyAlignment="1">
      <alignment horizontal="justify" vertical="center" wrapText="1"/>
    </xf>
    <xf numFmtId="0" fontId="44" fillId="0" borderId="8" xfId="210" applyFont="1" applyBorder="1" applyAlignment="1">
      <alignment horizontal="justify" vertical="center" wrapText="1"/>
    </xf>
    <xf numFmtId="0" fontId="44" fillId="0" borderId="6" xfId="210" applyFont="1" applyBorder="1" applyAlignment="1">
      <alignment horizontal="justify" vertical="center" wrapText="1"/>
    </xf>
    <xf numFmtId="0" fontId="45" fillId="7" borderId="1" xfId="0" applyFont="1" applyFill="1" applyBorder="1" applyAlignment="1">
      <alignment horizontal="center" vertical="top" wrapText="1"/>
    </xf>
    <xf numFmtId="0" fontId="46" fillId="8" borderId="1" xfId="0" applyFont="1" applyFill="1" applyBorder="1" applyAlignment="1">
      <alignment horizontal="center" vertical="top" wrapText="1"/>
    </xf>
    <xf numFmtId="0" fontId="17" fillId="0" borderId="5" xfId="210" applyFont="1" applyBorder="1" applyAlignment="1">
      <alignment vertical="center" wrapText="1"/>
    </xf>
    <xf numFmtId="0" fontId="17" fillId="0" borderId="8" xfId="210" applyFont="1" applyBorder="1" applyAlignment="1">
      <alignment vertical="center"/>
    </xf>
    <xf numFmtId="0" fontId="17" fillId="0" borderId="6" xfId="210" applyFont="1" applyBorder="1" applyAlignment="1">
      <alignment vertical="center"/>
    </xf>
    <xf numFmtId="9"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9" fontId="17" fillId="9" borderId="1" xfId="184" applyNumberFormat="1" applyFont="1" applyFill="1" applyBorder="1" applyAlignment="1">
      <alignment horizontal="center" vertical="center" wrapText="1"/>
    </xf>
    <xf numFmtId="0" fontId="17" fillId="9" borderId="1" xfId="184" applyFont="1" applyFill="1" applyBorder="1" applyAlignment="1">
      <alignment horizontal="center" vertical="center" wrapText="1"/>
    </xf>
    <xf numFmtId="10" fontId="17" fillId="9" borderId="5" xfId="2" applyNumberFormat="1" applyFont="1" applyFill="1" applyBorder="1" applyAlignment="1">
      <alignment horizontal="right" vertical="center"/>
    </xf>
    <xf numFmtId="10" fontId="17" fillId="9" borderId="8" xfId="2" applyNumberFormat="1" applyFont="1" applyFill="1" applyBorder="1" applyAlignment="1">
      <alignment horizontal="right" vertical="center"/>
    </xf>
    <xf numFmtId="10" fontId="17" fillId="9" borderId="6" xfId="2" applyNumberFormat="1" applyFont="1" applyFill="1" applyBorder="1" applyAlignment="1">
      <alignment horizontal="right" vertical="center"/>
    </xf>
    <xf numFmtId="0" fontId="17" fillId="0" borderId="1" xfId="0" applyFont="1" applyBorder="1" applyAlignment="1">
      <alignment horizontal="left" vertical="center" wrapText="1"/>
    </xf>
    <xf numFmtId="167" fontId="17" fillId="0" borderId="1" xfId="0" applyNumberFormat="1" applyFont="1" applyBorder="1" applyAlignment="1">
      <alignment horizontal="right" vertical="center"/>
    </xf>
    <xf numFmtId="10" fontId="17" fillId="0" borderId="1" xfId="2" applyNumberFormat="1" applyFont="1" applyBorder="1" applyAlignment="1">
      <alignment horizontal="right" vertical="center"/>
    </xf>
    <xf numFmtId="10" fontId="17" fillId="0" borderId="1" xfId="2" applyNumberFormat="1" applyFont="1" applyFill="1" applyBorder="1" applyAlignment="1">
      <alignment horizontal="right" vertical="center" wrapText="1"/>
    </xf>
    <xf numFmtId="9" fontId="17" fillId="0" borderId="1" xfId="0" applyNumberFormat="1" applyFont="1" applyFill="1" applyBorder="1" applyAlignment="1">
      <alignment horizontal="center" vertical="center" wrapText="1"/>
    </xf>
    <xf numFmtId="167" fontId="17" fillId="0" borderId="1" xfId="0" applyNumberFormat="1" applyFont="1" applyFill="1" applyBorder="1" applyAlignment="1">
      <alignment horizontal="right" vertical="center"/>
    </xf>
    <xf numFmtId="10" fontId="17" fillId="0" borderId="1" xfId="2" applyNumberFormat="1" applyFont="1" applyFill="1" applyBorder="1" applyAlignment="1">
      <alignment horizontal="right" vertical="center"/>
    </xf>
    <xf numFmtId="167" fontId="17" fillId="0" borderId="1" xfId="0" applyNumberFormat="1" applyFont="1" applyFill="1" applyBorder="1" applyAlignment="1">
      <alignment horizontal="right" vertical="center" wrapText="1"/>
    </xf>
    <xf numFmtId="0" fontId="17" fillId="0" borderId="1" xfId="0" applyFont="1" applyFill="1" applyBorder="1" applyAlignment="1">
      <alignment horizontal="center" vertical="center" wrapText="1"/>
    </xf>
    <xf numFmtId="0" fontId="44" fillId="9" borderId="5" xfId="184" applyFont="1" applyFill="1" applyBorder="1" applyAlignment="1">
      <alignment vertical="center" wrapText="1"/>
    </xf>
    <xf numFmtId="0" fontId="44" fillId="9" borderId="8" xfId="184" applyFont="1" applyFill="1" applyBorder="1" applyAlignment="1">
      <alignment vertical="center" wrapText="1"/>
    </xf>
    <xf numFmtId="0" fontId="44" fillId="9" borderId="6" xfId="184" applyFont="1" applyFill="1" applyBorder="1" applyAlignment="1">
      <alignment vertical="center" wrapText="1"/>
    </xf>
    <xf numFmtId="167" fontId="17" fillId="9" borderId="5" xfId="0" applyNumberFormat="1" applyFont="1" applyFill="1" applyBorder="1" applyAlignment="1">
      <alignment horizontal="center" vertical="center"/>
    </xf>
    <xf numFmtId="167" fontId="17" fillId="9" borderId="8" xfId="0" applyNumberFormat="1" applyFont="1" applyFill="1" applyBorder="1" applyAlignment="1">
      <alignment horizontal="center" vertical="center"/>
    </xf>
    <xf numFmtId="167" fontId="17" fillId="9" borderId="6" xfId="0" applyNumberFormat="1" applyFont="1" applyFill="1" applyBorder="1" applyAlignment="1">
      <alignment horizontal="center" vertical="center"/>
    </xf>
    <xf numFmtId="10" fontId="17" fillId="9" borderId="5" xfId="2" applyNumberFormat="1" applyFont="1" applyFill="1" applyBorder="1" applyAlignment="1">
      <alignment horizontal="center" vertical="center" wrapText="1"/>
    </xf>
    <xf numFmtId="10" fontId="17" fillId="9" borderId="8" xfId="2" applyNumberFormat="1" applyFont="1" applyFill="1" applyBorder="1" applyAlignment="1">
      <alignment horizontal="center" vertical="center" wrapText="1"/>
    </xf>
    <xf numFmtId="10" fontId="17" fillId="9" borderId="6" xfId="2" applyNumberFormat="1" applyFont="1" applyFill="1" applyBorder="1" applyAlignment="1">
      <alignment horizontal="center" vertical="center" wrapText="1"/>
    </xf>
    <xf numFmtId="0" fontId="17" fillId="9" borderId="1" xfId="184" applyFont="1" applyFill="1" applyBorder="1" applyAlignment="1">
      <alignment vertical="center" wrapText="1"/>
    </xf>
    <xf numFmtId="167" fontId="17" fillId="9" borderId="1" xfId="184" applyNumberFormat="1" applyFont="1" applyFill="1" applyBorder="1" applyAlignment="1">
      <alignment horizontal="center" vertical="center" wrapText="1"/>
    </xf>
    <xf numFmtId="10" fontId="17" fillId="9" borderId="1" xfId="2" applyNumberFormat="1" applyFont="1" applyFill="1" applyBorder="1" applyAlignment="1">
      <alignment horizontal="center" vertical="center" wrapText="1"/>
    </xf>
    <xf numFmtId="0" fontId="17" fillId="9" borderId="1" xfId="184" applyFont="1" applyFill="1" applyBorder="1" applyAlignment="1">
      <alignment horizontal="left" vertical="center" wrapText="1"/>
    </xf>
    <xf numFmtId="167" fontId="17" fillId="9" borderId="1" xfId="184" applyNumberFormat="1" applyFont="1" applyFill="1" applyBorder="1" applyAlignment="1">
      <alignment horizontal="right" vertical="center" wrapText="1"/>
    </xf>
    <xf numFmtId="10" fontId="17" fillId="9" borderId="1" xfId="2" applyNumberFormat="1" applyFont="1" applyFill="1" applyBorder="1" applyAlignment="1">
      <alignment horizontal="right" vertical="center" wrapText="1"/>
    </xf>
    <xf numFmtId="167" fontId="44" fillId="0" borderId="5" xfId="0" applyNumberFormat="1" applyFont="1" applyBorder="1" applyAlignment="1">
      <alignment vertical="center" wrapText="1"/>
    </xf>
    <xf numFmtId="167" fontId="44" fillId="0" borderId="8" xfId="0" applyNumberFormat="1" applyFont="1" applyBorder="1" applyAlignment="1">
      <alignment vertical="center" wrapText="1"/>
    </xf>
    <xf numFmtId="167" fontId="44" fillId="0" borderId="6" xfId="0" applyNumberFormat="1" applyFont="1" applyBorder="1" applyAlignment="1">
      <alignment vertical="center" wrapText="1"/>
    </xf>
    <xf numFmtId="167" fontId="17" fillId="0" borderId="5" xfId="0" applyNumberFormat="1" applyFont="1" applyBorder="1" applyAlignment="1">
      <alignment horizontal="center" vertical="center" wrapText="1"/>
    </xf>
    <xf numFmtId="167" fontId="17" fillId="0" borderId="8" xfId="0" applyNumberFormat="1" applyFont="1" applyBorder="1" applyAlignment="1">
      <alignment horizontal="center" vertical="center" wrapText="1"/>
    </xf>
    <xf numFmtId="167" fontId="17" fillId="0" borderId="6" xfId="0" applyNumberFormat="1" applyFont="1" applyBorder="1" applyAlignment="1">
      <alignment horizontal="center" vertical="center" wrapText="1"/>
    </xf>
    <xf numFmtId="10" fontId="17" fillId="0" borderId="5" xfId="2" applyNumberFormat="1" applyFont="1" applyBorder="1" applyAlignment="1">
      <alignment horizontal="center" vertical="center" wrapText="1"/>
    </xf>
    <xf numFmtId="10" fontId="17" fillId="0" borderId="8" xfId="2" applyNumberFormat="1" applyFont="1" applyBorder="1" applyAlignment="1">
      <alignment horizontal="center" vertical="center" wrapText="1"/>
    </xf>
    <xf numFmtId="10" fontId="17" fillId="0" borderId="6" xfId="2" applyNumberFormat="1" applyFont="1" applyBorder="1" applyAlignment="1">
      <alignment horizontal="center" vertical="center" wrapText="1"/>
    </xf>
    <xf numFmtId="0" fontId="17" fillId="0" borderId="1" xfId="0" applyFont="1" applyBorder="1" applyAlignment="1">
      <alignment vertical="center" wrapText="1"/>
    </xf>
    <xf numFmtId="167" fontId="17" fillId="0" borderId="1" xfId="0" applyNumberFormat="1" applyFont="1" applyBorder="1" applyAlignment="1">
      <alignment horizontal="center" vertical="center" wrapText="1"/>
    </xf>
    <xf numFmtId="10" fontId="17" fillId="0" borderId="1" xfId="2" applyNumberFormat="1" applyFont="1" applyBorder="1" applyAlignment="1">
      <alignment horizontal="center" vertical="center" wrapText="1"/>
    </xf>
    <xf numFmtId="167" fontId="17" fillId="9" borderId="1" xfId="183" applyNumberFormat="1" applyFont="1" applyFill="1" applyBorder="1" applyAlignment="1">
      <alignment horizontal="right" vertical="center" wrapText="1"/>
    </xf>
    <xf numFmtId="0" fontId="44" fillId="0" borderId="5" xfId="0" applyFont="1" applyFill="1" applyBorder="1" applyAlignment="1">
      <alignment vertical="center" wrapText="1"/>
    </xf>
    <xf numFmtId="0" fontId="44" fillId="0" borderId="8" xfId="0" applyFont="1" applyFill="1" applyBorder="1" applyAlignment="1">
      <alignment vertical="center" wrapText="1"/>
    </xf>
    <xf numFmtId="0" fontId="44" fillId="0" borderId="6" xfId="0" applyFont="1" applyFill="1" applyBorder="1" applyAlignment="1">
      <alignment vertical="center" wrapText="1"/>
    </xf>
    <xf numFmtId="167" fontId="17" fillId="0" borderId="5" xfId="0" applyNumberFormat="1" applyFont="1" applyFill="1" applyBorder="1" applyAlignment="1">
      <alignment horizontal="center" vertical="center" wrapText="1"/>
    </xf>
    <xf numFmtId="167" fontId="17" fillId="0" borderId="8" xfId="0" applyNumberFormat="1" applyFont="1" applyFill="1" applyBorder="1" applyAlignment="1">
      <alignment horizontal="center" vertical="center" wrapText="1"/>
    </xf>
    <xf numFmtId="167" fontId="17" fillId="0" borderId="6" xfId="0" applyNumberFormat="1" applyFont="1" applyFill="1" applyBorder="1" applyAlignment="1">
      <alignment horizontal="center" vertical="center" wrapText="1"/>
    </xf>
    <xf numFmtId="10" fontId="17" fillId="0" borderId="5" xfId="2" applyNumberFormat="1" applyFont="1" applyFill="1" applyBorder="1" applyAlignment="1">
      <alignment horizontal="center" vertical="center" wrapText="1"/>
    </xf>
    <xf numFmtId="10" fontId="17" fillId="0" borderId="8" xfId="2" applyNumberFormat="1" applyFont="1" applyFill="1" applyBorder="1" applyAlignment="1">
      <alignment horizontal="center" vertical="center" wrapText="1"/>
    </xf>
    <xf numFmtId="10" fontId="17" fillId="0" borderId="6" xfId="2" applyNumberFormat="1" applyFont="1" applyFill="1" applyBorder="1" applyAlignment="1">
      <alignment horizontal="center" vertical="center" wrapText="1"/>
    </xf>
    <xf numFmtId="0" fontId="17" fillId="0" borderId="1" xfId="0" applyFont="1" applyFill="1" applyBorder="1" applyAlignment="1">
      <alignment vertical="center" wrapText="1"/>
    </xf>
    <xf numFmtId="167" fontId="17" fillId="0" borderId="1" xfId="0" applyNumberFormat="1" applyFont="1" applyFill="1" applyBorder="1" applyAlignment="1">
      <alignment horizontal="center" vertical="center" wrapText="1"/>
    </xf>
    <xf numFmtId="10" fontId="17" fillId="0" borderId="1" xfId="2" applyNumberFormat="1" applyFont="1" applyFill="1" applyBorder="1" applyAlignment="1">
      <alignment horizontal="center" vertical="center" wrapText="1"/>
    </xf>
    <xf numFmtId="0" fontId="44" fillId="0" borderId="5" xfId="0" applyFont="1" applyBorder="1" applyAlignment="1">
      <alignment vertical="center" wrapText="1"/>
    </xf>
    <xf numFmtId="0" fontId="44" fillId="0" borderId="8" xfId="0" applyFont="1" applyBorder="1" applyAlignment="1">
      <alignment vertical="center" wrapText="1"/>
    </xf>
    <xf numFmtId="0" fontId="44" fillId="0" borderId="6" xfId="0" applyFont="1" applyBorder="1" applyAlignment="1">
      <alignment vertical="center" wrapText="1"/>
    </xf>
    <xf numFmtId="10" fontId="17" fillId="0" borderId="5" xfId="2" applyNumberFormat="1" applyFont="1" applyBorder="1" applyAlignment="1">
      <alignment horizontal="center" vertical="center"/>
    </xf>
    <xf numFmtId="10" fontId="17" fillId="0" borderId="8" xfId="2" applyNumberFormat="1" applyFont="1" applyBorder="1" applyAlignment="1">
      <alignment horizontal="center" vertical="center"/>
    </xf>
    <xf numFmtId="10" fontId="17" fillId="0" borderId="6" xfId="2" applyNumberFormat="1" applyFont="1" applyBorder="1" applyAlignment="1">
      <alignment horizontal="center" vertical="center"/>
    </xf>
    <xf numFmtId="167" fontId="17" fillId="0" borderId="1" xfId="183" applyNumberFormat="1" applyFont="1" applyBorder="1" applyAlignment="1">
      <alignment horizontal="right" vertical="center" wrapText="1"/>
    </xf>
    <xf numFmtId="10" fontId="17" fillId="0" borderId="1" xfId="2" applyNumberFormat="1" applyFont="1" applyBorder="1" applyAlignment="1">
      <alignment horizontal="right" vertical="center" wrapText="1"/>
    </xf>
    <xf numFmtId="167" fontId="17" fillId="9" borderId="1" xfId="0" applyNumberFormat="1" applyFont="1" applyFill="1" applyBorder="1" applyAlignment="1">
      <alignment horizontal="right" vertical="center" wrapText="1"/>
    </xf>
    <xf numFmtId="164" fontId="17" fillId="0" borderId="1" xfId="0" applyNumberFormat="1" applyFont="1" applyBorder="1" applyAlignment="1">
      <alignment horizontal="center" vertical="center" wrapText="1"/>
    </xf>
    <xf numFmtId="167" fontId="17" fillId="9" borderId="1" xfId="0" applyNumberFormat="1" applyFont="1" applyFill="1" applyBorder="1" applyAlignment="1">
      <alignment horizontal="right" vertical="center"/>
    </xf>
    <xf numFmtId="10" fontId="17" fillId="9" borderId="1" xfId="2" applyNumberFormat="1" applyFont="1" applyFill="1" applyBorder="1" applyAlignment="1">
      <alignment horizontal="right" vertical="center"/>
    </xf>
    <xf numFmtId="167" fontId="17" fillId="9" borderId="1" xfId="0" applyNumberFormat="1" applyFont="1" applyFill="1" applyBorder="1" applyAlignment="1">
      <alignment horizontal="center" vertical="center"/>
    </xf>
    <xf numFmtId="10" fontId="17" fillId="9" borderId="1" xfId="2" applyNumberFormat="1" applyFont="1" applyFill="1" applyBorder="1" applyAlignment="1">
      <alignment horizontal="center" vertical="center"/>
    </xf>
    <xf numFmtId="167" fontId="44" fillId="9" borderId="5" xfId="0" applyNumberFormat="1" applyFont="1" applyFill="1" applyBorder="1" applyAlignment="1">
      <alignment horizontal="left" vertical="center" wrapText="1"/>
    </xf>
    <xf numFmtId="167" fontId="44" fillId="9" borderId="8" xfId="0" applyNumberFormat="1" applyFont="1" applyFill="1" applyBorder="1" applyAlignment="1">
      <alignment horizontal="left" vertical="center" wrapText="1"/>
    </xf>
    <xf numFmtId="167" fontId="44" fillId="9" borderId="6" xfId="0" applyNumberFormat="1" applyFont="1" applyFill="1" applyBorder="1" applyAlignment="1">
      <alignment horizontal="left" vertical="center" wrapText="1"/>
    </xf>
    <xf numFmtId="10" fontId="17" fillId="9" borderId="5" xfId="2" applyNumberFormat="1" applyFont="1" applyFill="1" applyBorder="1" applyAlignment="1">
      <alignment horizontal="center" vertical="center"/>
    </xf>
    <xf numFmtId="10" fontId="17" fillId="9" borderId="8" xfId="2" applyNumberFormat="1" applyFont="1" applyFill="1" applyBorder="1" applyAlignment="1">
      <alignment horizontal="center" vertical="center"/>
    </xf>
    <xf numFmtId="10" fontId="17" fillId="9" borderId="6" xfId="2" applyNumberFormat="1" applyFont="1" applyFill="1" applyBorder="1" applyAlignment="1">
      <alignment horizontal="center" vertical="center"/>
    </xf>
    <xf numFmtId="167" fontId="17" fillId="9" borderId="1" xfId="0" applyNumberFormat="1" applyFont="1" applyFill="1" applyBorder="1" applyAlignment="1">
      <alignment vertical="center"/>
    </xf>
    <xf numFmtId="10" fontId="44" fillId="0" borderId="5" xfId="2" applyNumberFormat="1" applyFont="1" applyBorder="1" applyAlignment="1">
      <alignment horizontal="center" vertical="center" wrapText="1"/>
    </xf>
    <xf numFmtId="10" fontId="44" fillId="0" borderId="8" xfId="2" applyNumberFormat="1" applyFont="1" applyBorder="1" applyAlignment="1">
      <alignment horizontal="center" vertical="center" wrapText="1"/>
    </xf>
    <xf numFmtId="10" fontId="44" fillId="0" borderId="6" xfId="2" applyNumberFormat="1" applyFont="1" applyBorder="1" applyAlignment="1">
      <alignment horizontal="center" vertical="center" wrapText="1"/>
    </xf>
    <xf numFmtId="170" fontId="17" fillId="0" borderId="5" xfId="1" applyNumberFormat="1" applyFont="1" applyBorder="1" applyAlignment="1">
      <alignment horizontal="center" vertical="center" wrapText="1"/>
    </xf>
    <xf numFmtId="170" fontId="17" fillId="0" borderId="8" xfId="1" applyNumberFormat="1" applyFont="1" applyBorder="1" applyAlignment="1">
      <alignment horizontal="center" vertical="center" wrapText="1"/>
    </xf>
    <xf numFmtId="170" fontId="17" fillId="0" borderId="6" xfId="1" applyNumberFormat="1" applyFont="1" applyBorder="1" applyAlignment="1">
      <alignment horizontal="center" vertical="center" wrapText="1"/>
    </xf>
    <xf numFmtId="0" fontId="17" fillId="0" borderId="5" xfId="210" applyFont="1" applyBorder="1" applyAlignment="1">
      <alignment horizontal="justify" vertical="center" wrapText="1"/>
    </xf>
    <xf numFmtId="0" fontId="17" fillId="0" borderId="8" xfId="210" applyFont="1" applyBorder="1" applyAlignment="1">
      <alignment horizontal="justify" vertical="center" wrapText="1"/>
    </xf>
    <xf numFmtId="0" fontId="17" fillId="0" borderId="5" xfId="210" applyFont="1" applyFill="1" applyBorder="1" applyAlignment="1">
      <alignment vertical="center" wrapText="1"/>
    </xf>
    <xf numFmtId="0" fontId="17" fillId="0" borderId="8" xfId="210" applyFont="1" applyFill="1" applyBorder="1" applyAlignment="1">
      <alignment vertical="center" wrapText="1"/>
    </xf>
    <xf numFmtId="3" fontId="17" fillId="0" borderId="5" xfId="210" applyNumberFormat="1" applyFont="1" applyFill="1" applyBorder="1" applyAlignment="1">
      <alignment horizontal="right" vertical="center" wrapText="1"/>
    </xf>
    <xf numFmtId="3" fontId="17" fillId="0" borderId="8" xfId="210" applyNumberFormat="1" applyFont="1" applyFill="1" applyBorder="1" applyAlignment="1">
      <alignment horizontal="right" vertical="center" wrapText="1"/>
    </xf>
    <xf numFmtId="0" fontId="17" fillId="0" borderId="1" xfId="210" applyFont="1" applyBorder="1" applyAlignment="1">
      <alignment horizontal="justify" vertical="center"/>
    </xf>
    <xf numFmtId="179" fontId="17" fillId="0" borderId="5" xfId="210" applyNumberFormat="1" applyFont="1" applyBorder="1" applyAlignment="1">
      <alignment horizontal="right" vertical="center"/>
    </xf>
    <xf numFmtId="179" fontId="17" fillId="0" borderId="6" xfId="210" applyNumberFormat="1" applyFont="1" applyBorder="1" applyAlignment="1">
      <alignment horizontal="right" vertical="center"/>
    </xf>
    <xf numFmtId="0" fontId="17" fillId="0" borderId="6" xfId="210" applyNumberFormat="1" applyFont="1" applyBorder="1" applyAlignment="1">
      <alignment vertical="center" wrapText="1"/>
    </xf>
    <xf numFmtId="0" fontId="17" fillId="0" borderId="1" xfId="210" applyFont="1" applyBorder="1" applyAlignment="1">
      <alignment vertical="center"/>
    </xf>
    <xf numFmtId="0" fontId="44" fillId="0" borderId="5" xfId="210" applyFont="1" applyFill="1" applyBorder="1" applyAlignment="1">
      <alignment horizontal="justify" vertical="center" wrapText="1"/>
    </xf>
    <xf numFmtId="0" fontId="44" fillId="0" borderId="8" xfId="210" applyFont="1" applyFill="1" applyBorder="1" applyAlignment="1">
      <alignment horizontal="justify" vertical="center" wrapText="1"/>
    </xf>
    <xf numFmtId="0" fontId="44" fillId="0" borderId="6" xfId="210" applyFont="1" applyFill="1" applyBorder="1" applyAlignment="1">
      <alignment horizontal="justify" vertical="center" wrapText="1"/>
    </xf>
    <xf numFmtId="3" fontId="17" fillId="0" borderId="6" xfId="210" applyNumberFormat="1" applyFont="1" applyFill="1" applyBorder="1" applyAlignment="1">
      <alignment horizontal="right" vertical="center" wrapText="1"/>
    </xf>
    <xf numFmtId="0" fontId="17" fillId="0" borderId="6" xfId="210" applyFont="1" applyFill="1" applyBorder="1" applyAlignment="1">
      <alignment vertical="center" wrapText="1"/>
    </xf>
    <xf numFmtId="0" fontId="44" fillId="0" borderId="5" xfId="210" applyFont="1" applyBorder="1" applyAlignment="1">
      <alignment horizontal="justify" vertical="center"/>
    </xf>
    <xf numFmtId="0" fontId="17" fillId="0" borderId="8" xfId="210" applyFont="1" applyBorder="1" applyAlignment="1">
      <alignment horizontal="justify" vertical="center"/>
    </xf>
    <xf numFmtId="0" fontId="48" fillId="0" borderId="8" xfId="210" applyFont="1" applyBorder="1" applyAlignment="1">
      <alignment horizontal="justify" vertical="center"/>
    </xf>
    <xf numFmtId="179" fontId="17" fillId="0" borderId="8" xfId="210" applyNumberFormat="1" applyFont="1" applyBorder="1" applyAlignment="1">
      <alignment horizontal="right" vertical="center"/>
    </xf>
    <xf numFmtId="0" fontId="17" fillId="0" borderId="5" xfId="210" applyNumberFormat="1" applyFont="1" applyBorder="1" applyAlignment="1">
      <alignment vertical="center" wrapText="1"/>
    </xf>
    <xf numFmtId="0" fontId="48" fillId="0" borderId="8" xfId="210" applyFont="1" applyBorder="1" applyAlignment="1">
      <alignment vertical="center"/>
    </xf>
    <xf numFmtId="10" fontId="44" fillId="0" borderId="13" xfId="2" applyNumberFormat="1" applyFont="1" applyBorder="1" applyAlignment="1">
      <alignment horizontal="center" vertical="center" wrapText="1"/>
    </xf>
    <xf numFmtId="10" fontId="44" fillId="0" borderId="15" xfId="2" applyNumberFormat="1" applyFont="1" applyBorder="1" applyAlignment="1">
      <alignment horizontal="center" vertical="center" wrapText="1"/>
    </xf>
    <xf numFmtId="10" fontId="44" fillId="0" borderId="7" xfId="2" applyNumberFormat="1" applyFont="1" applyBorder="1" applyAlignment="1">
      <alignment horizontal="center" vertical="center" wrapText="1"/>
    </xf>
    <xf numFmtId="170" fontId="17" fillId="0" borderId="5" xfId="1" applyNumberFormat="1" applyFont="1" applyBorder="1" applyAlignment="1">
      <alignment horizontal="center" vertical="center"/>
    </xf>
    <xf numFmtId="170" fontId="17" fillId="0" borderId="8" xfId="1" applyNumberFormat="1" applyFont="1" applyBorder="1" applyAlignment="1">
      <alignment horizontal="center" vertical="center"/>
    </xf>
    <xf numFmtId="170" fontId="17" fillId="0" borderId="6" xfId="1" applyNumberFormat="1" applyFont="1" applyBorder="1" applyAlignment="1">
      <alignment horizontal="center" vertical="center"/>
    </xf>
    <xf numFmtId="0" fontId="48" fillId="9" borderId="5" xfId="215" applyFont="1" applyFill="1" applyBorder="1" applyAlignment="1">
      <alignment horizontal="left" vertical="center" wrapText="1"/>
    </xf>
    <xf numFmtId="0" fontId="48" fillId="9" borderId="8" xfId="215" applyFont="1" applyFill="1" applyBorder="1" applyAlignment="1">
      <alignment horizontal="left" vertical="center" wrapText="1"/>
    </xf>
    <xf numFmtId="0" fontId="48" fillId="9" borderId="6" xfId="215" applyFont="1" applyFill="1" applyBorder="1" applyAlignment="1">
      <alignment horizontal="left" vertical="center" wrapText="1"/>
    </xf>
    <xf numFmtId="3" fontId="48" fillId="9" borderId="5" xfId="215" applyNumberFormat="1" applyFont="1" applyFill="1" applyBorder="1" applyAlignment="1">
      <alignment horizontal="right" vertical="center" wrapText="1"/>
    </xf>
    <xf numFmtId="0" fontId="48" fillId="9" borderId="8" xfId="215" applyFont="1" applyFill="1" applyBorder="1" applyAlignment="1">
      <alignment horizontal="right" vertical="center" wrapText="1"/>
    </xf>
    <xf numFmtId="0" fontId="48" fillId="9" borderId="6" xfId="215" applyFont="1" applyFill="1" applyBorder="1" applyAlignment="1">
      <alignment horizontal="right" vertical="center" wrapText="1"/>
    </xf>
    <xf numFmtId="10" fontId="48" fillId="9" borderId="5" xfId="2" applyNumberFormat="1" applyFont="1" applyFill="1" applyBorder="1" applyAlignment="1">
      <alignment horizontal="right" vertical="center" wrapText="1"/>
    </xf>
    <xf numFmtId="10" fontId="48" fillId="9" borderId="8" xfId="2" applyNumberFormat="1" applyFont="1" applyFill="1" applyBorder="1" applyAlignment="1">
      <alignment horizontal="right" vertical="center" wrapText="1"/>
    </xf>
    <xf numFmtId="10" fontId="48" fillId="9" borderId="6" xfId="2" applyNumberFormat="1" applyFont="1" applyFill="1" applyBorder="1" applyAlignment="1">
      <alignment horizontal="right" vertical="center" wrapText="1"/>
    </xf>
    <xf numFmtId="0" fontId="48" fillId="9" borderId="5" xfId="215" applyFont="1" applyFill="1" applyBorder="1" applyAlignment="1">
      <alignment vertical="center" wrapText="1"/>
    </xf>
    <xf numFmtId="0" fontId="48" fillId="9" borderId="8" xfId="215" applyFont="1" applyFill="1" applyBorder="1" applyAlignment="1">
      <alignment vertical="center" wrapText="1"/>
    </xf>
    <xf numFmtId="0" fontId="48" fillId="9" borderId="6" xfId="215" applyFont="1" applyFill="1" applyBorder="1" applyAlignment="1">
      <alignment vertical="center" wrapText="1"/>
    </xf>
    <xf numFmtId="3" fontId="48" fillId="9" borderId="5" xfId="117" applyNumberFormat="1" applyFont="1" applyFill="1" applyBorder="1" applyAlignment="1">
      <alignment horizontal="right" vertical="center" wrapText="1"/>
    </xf>
    <xf numFmtId="3" fontId="48" fillId="9" borderId="8" xfId="117" applyNumberFormat="1" applyFont="1" applyFill="1" applyBorder="1" applyAlignment="1">
      <alignment horizontal="right" vertical="center" wrapText="1"/>
    </xf>
    <xf numFmtId="3" fontId="48" fillId="9" borderId="6" xfId="117" applyNumberFormat="1" applyFont="1" applyFill="1" applyBorder="1" applyAlignment="1">
      <alignment horizontal="right" vertical="center" wrapText="1"/>
    </xf>
    <xf numFmtId="0" fontId="48" fillId="0" borderId="5" xfId="215" applyFont="1" applyFill="1" applyBorder="1" applyAlignment="1">
      <alignment horizontal="left" vertical="center" wrapText="1"/>
    </xf>
    <xf numFmtId="0" fontId="48" fillId="0" borderId="8" xfId="215" applyFont="1" applyFill="1" applyBorder="1" applyAlignment="1">
      <alignment horizontal="left" vertical="center" wrapText="1"/>
    </xf>
    <xf numFmtId="0" fontId="48" fillId="0" borderId="6" xfId="215" applyFont="1" applyFill="1" applyBorder="1" applyAlignment="1">
      <alignment horizontal="left" vertical="center" wrapText="1"/>
    </xf>
    <xf numFmtId="3" fontId="48" fillId="0" borderId="5" xfId="215" applyNumberFormat="1" applyFont="1" applyFill="1" applyBorder="1" applyAlignment="1">
      <alignment horizontal="right" vertical="center" wrapText="1"/>
    </xf>
    <xf numFmtId="0" fontId="48" fillId="0" borderId="8" xfId="215" applyFont="1" applyFill="1" applyBorder="1" applyAlignment="1">
      <alignment horizontal="right" vertical="center" wrapText="1"/>
    </xf>
    <xf numFmtId="10" fontId="48" fillId="0" borderId="5" xfId="2" applyNumberFormat="1" applyFont="1" applyFill="1" applyBorder="1" applyAlignment="1">
      <alignment horizontal="right" vertical="center" wrapText="1"/>
    </xf>
    <xf numFmtId="10" fontId="48" fillId="0" borderId="8" xfId="2" applyNumberFormat="1" applyFont="1" applyFill="1" applyBorder="1" applyAlignment="1">
      <alignment horizontal="right" vertical="center" wrapText="1"/>
    </xf>
    <xf numFmtId="0" fontId="48" fillId="0" borderId="1" xfId="215" applyFont="1" applyFill="1" applyBorder="1" applyAlignment="1">
      <alignment vertical="center" wrapText="1"/>
    </xf>
    <xf numFmtId="3" fontId="48" fillId="0" borderId="1" xfId="215" applyNumberFormat="1" applyFont="1" applyFill="1" applyBorder="1" applyAlignment="1">
      <alignment horizontal="right" vertical="center" wrapText="1"/>
    </xf>
    <xf numFmtId="3" fontId="48" fillId="9" borderId="8" xfId="215" applyNumberFormat="1" applyFont="1" applyFill="1" applyBorder="1" applyAlignment="1">
      <alignment horizontal="right" vertical="center" wrapText="1"/>
    </xf>
    <xf numFmtId="3" fontId="48" fillId="9" borderId="6" xfId="215" applyNumberFormat="1" applyFont="1" applyFill="1" applyBorder="1" applyAlignment="1">
      <alignment horizontal="right" vertical="center" wrapText="1"/>
    </xf>
    <xf numFmtId="10" fontId="48" fillId="0" borderId="1" xfId="2" applyNumberFormat="1" applyFont="1" applyFill="1" applyBorder="1" applyAlignment="1">
      <alignment horizontal="right" vertical="center" wrapText="1"/>
    </xf>
    <xf numFmtId="0" fontId="51" fillId="0" borderId="5" xfId="0" applyFont="1" applyBorder="1" applyAlignment="1">
      <alignment horizontal="center" vertical="center" wrapText="1"/>
    </xf>
    <xf numFmtId="0" fontId="51" fillId="0" borderId="8" xfId="0" applyFont="1" applyBorder="1" applyAlignment="1">
      <alignment horizontal="center" vertical="center" wrapText="1"/>
    </xf>
    <xf numFmtId="0" fontId="51" fillId="0" borderId="6" xfId="0" applyFont="1" applyBorder="1" applyAlignment="1">
      <alignment horizontal="center" vertical="center" wrapText="1"/>
    </xf>
    <xf numFmtId="3" fontId="49" fillId="0" borderId="5" xfId="0" applyNumberFormat="1" applyFont="1" applyBorder="1" applyAlignment="1">
      <alignment horizontal="center" vertical="center" wrapText="1"/>
    </xf>
    <xf numFmtId="3" fontId="49" fillId="0" borderId="8" xfId="0" applyNumberFormat="1" applyFont="1" applyBorder="1" applyAlignment="1">
      <alignment horizontal="center" vertical="center" wrapText="1"/>
    </xf>
    <xf numFmtId="3" fontId="49" fillId="0" borderId="6" xfId="0" applyNumberFormat="1" applyFont="1" applyBorder="1" applyAlignment="1">
      <alignment horizontal="center" vertical="center" wrapText="1"/>
    </xf>
    <xf numFmtId="10" fontId="49" fillId="0" borderId="5" xfId="2" applyNumberFormat="1" applyFont="1" applyBorder="1" applyAlignment="1">
      <alignment horizontal="center" vertical="center" wrapText="1"/>
    </xf>
    <xf numFmtId="10" fontId="49" fillId="0" borderId="8" xfId="2" applyNumberFormat="1" applyFont="1" applyBorder="1" applyAlignment="1">
      <alignment horizontal="center" vertical="center" wrapText="1"/>
    </xf>
    <xf numFmtId="10" fontId="49" fillId="0" borderId="6" xfId="2" applyNumberFormat="1" applyFont="1" applyBorder="1" applyAlignment="1">
      <alignment horizontal="center" vertical="center" wrapText="1"/>
    </xf>
    <xf numFmtId="10" fontId="49" fillId="0" borderId="5" xfId="2" applyNumberFormat="1" applyFont="1" applyBorder="1" applyAlignment="1">
      <alignment horizontal="right" vertical="center" wrapText="1"/>
    </xf>
    <xf numFmtId="10" fontId="49" fillId="0" borderId="8" xfId="2" applyNumberFormat="1" applyFont="1" applyBorder="1" applyAlignment="1">
      <alignment horizontal="right" vertical="center" wrapText="1"/>
    </xf>
    <xf numFmtId="10" fontId="49" fillId="0" borderId="6" xfId="2" applyNumberFormat="1" applyFont="1" applyBorder="1" applyAlignment="1">
      <alignment horizontal="right" vertical="center" wrapText="1"/>
    </xf>
    <xf numFmtId="0" fontId="49" fillId="0" borderId="5" xfId="0" applyFont="1" applyBorder="1" applyAlignment="1">
      <alignment horizontal="left" vertical="center" wrapText="1"/>
    </xf>
    <xf numFmtId="0" fontId="49" fillId="0" borderId="8" xfId="0" applyFont="1" applyBorder="1" applyAlignment="1">
      <alignment horizontal="left" vertical="center" wrapText="1"/>
    </xf>
    <xf numFmtId="0" fontId="49" fillId="0" borderId="6" xfId="0" applyFont="1" applyBorder="1" applyAlignment="1">
      <alignment horizontal="left" vertical="center" wrapText="1"/>
    </xf>
    <xf numFmtId="3" fontId="49" fillId="0" borderId="5" xfId="0" applyNumberFormat="1" applyFont="1" applyBorder="1" applyAlignment="1">
      <alignment horizontal="right" vertical="center" wrapText="1"/>
    </xf>
    <xf numFmtId="0" fontId="49" fillId="0" borderId="8" xfId="0" applyFont="1" applyBorder="1" applyAlignment="1">
      <alignment horizontal="right" vertical="center" wrapText="1"/>
    </xf>
    <xf numFmtId="0" fontId="49" fillId="0" borderId="6" xfId="0" applyFont="1" applyBorder="1" applyAlignment="1">
      <alignment horizontal="right" vertical="center" wrapText="1"/>
    </xf>
    <xf numFmtId="0" fontId="49" fillId="0" borderId="5" xfId="0" applyFont="1" applyBorder="1" applyAlignment="1">
      <alignment vertical="center" wrapText="1"/>
    </xf>
    <xf numFmtId="0" fontId="49" fillId="0" borderId="8" xfId="0" applyFont="1" applyBorder="1" applyAlignment="1">
      <alignment vertical="center" wrapText="1"/>
    </xf>
    <xf numFmtId="0" fontId="49" fillId="0" borderId="6" xfId="0" applyFont="1" applyBorder="1" applyAlignment="1">
      <alignment vertical="center" wrapText="1"/>
    </xf>
    <xf numFmtId="177" fontId="49" fillId="0" borderId="5" xfId="2" applyNumberFormat="1" applyFont="1" applyBorder="1" applyAlignment="1">
      <alignment horizontal="center" vertical="center" wrapText="1"/>
    </xf>
    <xf numFmtId="177" fontId="49" fillId="0" borderId="8" xfId="2" applyNumberFormat="1" applyFont="1" applyBorder="1" applyAlignment="1">
      <alignment horizontal="center" vertical="center" wrapText="1"/>
    </xf>
    <xf numFmtId="170" fontId="49" fillId="0" borderId="5" xfId="0" applyNumberFormat="1" applyFont="1" applyBorder="1" applyAlignment="1">
      <alignment horizontal="right" vertical="center" wrapText="1"/>
    </xf>
    <xf numFmtId="170" fontId="49" fillId="0" borderId="5" xfId="1" applyNumberFormat="1" applyFont="1" applyBorder="1" applyAlignment="1">
      <alignment horizontal="center" vertical="center" wrapText="1"/>
    </xf>
    <xf numFmtId="170" fontId="49" fillId="0" borderId="8" xfId="1" applyNumberFormat="1" applyFont="1" applyBorder="1" applyAlignment="1">
      <alignment horizontal="center" vertical="center" wrapText="1"/>
    </xf>
    <xf numFmtId="177" fontId="49" fillId="0" borderId="6" xfId="2" applyNumberFormat="1" applyFont="1" applyBorder="1" applyAlignment="1">
      <alignment horizontal="center" vertical="center" wrapText="1"/>
    </xf>
    <xf numFmtId="180" fontId="51" fillId="0" borderId="5" xfId="0" applyNumberFormat="1" applyFont="1" applyBorder="1" applyAlignment="1">
      <alignment horizontal="center" vertical="center" wrapText="1"/>
    </xf>
    <xf numFmtId="180" fontId="51" fillId="0" borderId="8" xfId="0" applyNumberFormat="1" applyFont="1" applyBorder="1" applyAlignment="1">
      <alignment horizontal="center" vertical="center" wrapText="1"/>
    </xf>
    <xf numFmtId="180" fontId="51" fillId="0" borderId="6" xfId="0" applyNumberFormat="1" applyFont="1" applyBorder="1" applyAlignment="1">
      <alignment horizontal="center" vertical="center" wrapText="1"/>
    </xf>
    <xf numFmtId="180" fontId="49" fillId="0" borderId="5" xfId="0" applyNumberFormat="1" applyFont="1" applyBorder="1" applyAlignment="1">
      <alignment horizontal="center" vertical="center" wrapText="1"/>
    </xf>
    <xf numFmtId="180" fontId="49" fillId="0" borderId="8" xfId="0" applyNumberFormat="1" applyFont="1" applyBorder="1" applyAlignment="1">
      <alignment horizontal="center" vertical="center" wrapText="1"/>
    </xf>
    <xf numFmtId="180" fontId="49" fillId="0" borderId="6" xfId="0" applyNumberFormat="1" applyFont="1" applyBorder="1" applyAlignment="1">
      <alignment horizontal="center" vertical="center" wrapText="1"/>
    </xf>
    <xf numFmtId="177" fontId="49" fillId="0" borderId="5" xfId="2" applyNumberFormat="1" applyFont="1" applyBorder="1" applyAlignment="1">
      <alignment horizontal="right" vertical="center" wrapText="1"/>
    </xf>
    <xf numFmtId="177" fontId="49" fillId="0" borderId="8" xfId="2" applyNumberFormat="1" applyFont="1" applyBorder="1" applyAlignment="1">
      <alignment horizontal="right" vertical="center" wrapText="1"/>
    </xf>
    <xf numFmtId="177" fontId="49" fillId="0" borderId="6" xfId="2" applyNumberFormat="1" applyFont="1" applyBorder="1" applyAlignment="1">
      <alignment horizontal="right" vertical="center" wrapText="1"/>
    </xf>
    <xf numFmtId="180" fontId="49" fillId="0" borderId="5" xfId="0" applyNumberFormat="1" applyFont="1" applyBorder="1" applyAlignment="1">
      <alignment horizontal="left" vertical="center" wrapText="1"/>
    </xf>
    <xf numFmtId="180" fontId="49" fillId="0" borderId="8" xfId="0" applyNumberFormat="1" applyFont="1" applyBorder="1" applyAlignment="1">
      <alignment horizontal="left" vertical="center" wrapText="1"/>
    </xf>
    <xf numFmtId="180" fontId="49" fillId="0" borderId="6" xfId="0" applyNumberFormat="1" applyFont="1" applyBorder="1" applyAlignment="1">
      <alignment horizontal="left" vertical="center" wrapText="1"/>
    </xf>
    <xf numFmtId="180" fontId="49" fillId="0" borderId="1" xfId="0" applyNumberFormat="1" applyFont="1" applyBorder="1" applyAlignment="1">
      <alignment horizontal="right" vertical="center" wrapText="1"/>
    </xf>
    <xf numFmtId="10" fontId="49" fillId="0" borderId="1" xfId="2" applyNumberFormat="1" applyFont="1" applyBorder="1" applyAlignment="1">
      <alignment horizontal="right" vertical="center" wrapText="1"/>
    </xf>
    <xf numFmtId="0" fontId="49" fillId="0" borderId="1" xfId="0" applyFont="1" applyBorder="1" applyAlignment="1">
      <alignment vertical="center" wrapText="1"/>
    </xf>
    <xf numFmtId="3" fontId="49" fillId="0" borderId="8" xfId="0" applyNumberFormat="1" applyFont="1" applyBorder="1" applyAlignment="1">
      <alignment horizontal="right" vertical="center" wrapText="1"/>
    </xf>
    <xf numFmtId="3" fontId="49" fillId="0" borderId="6" xfId="0" applyNumberFormat="1" applyFont="1" applyBorder="1" applyAlignment="1">
      <alignment horizontal="right" vertical="center" wrapText="1"/>
    </xf>
    <xf numFmtId="10" fontId="49" fillId="0" borderId="1" xfId="2" applyNumberFormat="1" applyFont="1" applyBorder="1" applyAlignment="1">
      <alignment horizontal="center" vertical="center" wrapText="1"/>
    </xf>
    <xf numFmtId="177" fontId="50" fillId="0" borderId="1" xfId="2" applyNumberFormat="1" applyFont="1" applyBorder="1" applyAlignment="1">
      <alignment horizontal="center" vertical="center" wrapText="1"/>
    </xf>
    <xf numFmtId="10" fontId="49" fillId="0" borderId="1" xfId="2" applyNumberFormat="1" applyFont="1" applyBorder="1" applyAlignment="1">
      <alignment vertical="center" wrapText="1"/>
    </xf>
    <xf numFmtId="177" fontId="50" fillId="0" borderId="5" xfId="2" applyNumberFormat="1" applyFont="1" applyBorder="1" applyAlignment="1">
      <alignment horizontal="center" vertical="center" wrapText="1"/>
    </xf>
    <xf numFmtId="177" fontId="50" fillId="0" borderId="8" xfId="2" applyNumberFormat="1" applyFont="1" applyBorder="1" applyAlignment="1">
      <alignment horizontal="center" vertical="center" wrapText="1"/>
    </xf>
    <xf numFmtId="177" fontId="50" fillId="0" borderId="6" xfId="2" applyNumberFormat="1" applyFont="1" applyBorder="1" applyAlignment="1">
      <alignment horizontal="center" vertical="center" wrapText="1"/>
    </xf>
    <xf numFmtId="170" fontId="49" fillId="0" borderId="6" xfId="1" applyNumberFormat="1" applyFont="1" applyBorder="1" applyAlignment="1">
      <alignment horizontal="center" vertical="center" wrapText="1"/>
    </xf>
    <xf numFmtId="0" fontId="6" fillId="0" borderId="1" xfId="115" applyFont="1" applyBorder="1" applyAlignment="1">
      <alignment horizontal="center" vertical="center" wrapText="1"/>
    </xf>
    <xf numFmtId="0" fontId="6" fillId="0" borderId="2" xfId="115" applyFont="1" applyBorder="1" applyAlignment="1">
      <alignment horizontal="center"/>
    </xf>
    <xf numFmtId="0" fontId="6" fillId="0" borderId="3" xfId="115" applyFont="1" applyBorder="1" applyAlignment="1">
      <alignment horizontal="center"/>
    </xf>
    <xf numFmtId="0" fontId="6" fillId="0" borderId="5" xfId="115" applyFont="1" applyBorder="1" applyAlignment="1">
      <alignment horizontal="center" vertical="center" wrapText="1"/>
    </xf>
    <xf numFmtId="0" fontId="6" fillId="0" borderId="6" xfId="115" applyFont="1" applyBorder="1" applyAlignment="1">
      <alignment horizontal="center" vertical="center" wrapText="1"/>
    </xf>
  </cellXfs>
  <cellStyles count="283">
    <cellStyle name="20% - Colore 5 2" xfId="216"/>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3" builtinId="8" hidden="1"/>
    <cellStyle name="Collegamento ipertestuale" xfId="25" builtinId="8" hidden="1"/>
    <cellStyle name="Collegamento ipertestuale" xfId="27" builtinId="8" hidden="1"/>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6" builtinId="8"/>
    <cellStyle name="Collegamento visitato" xfId="4" builtinId="9" hidden="1"/>
    <cellStyle name="Collegamento visitato" xfId="6" builtinId="9" hidden="1"/>
    <cellStyle name="Collegamento visitato" xfId="8" builtinId="9" hidden="1"/>
    <cellStyle name="Collegamento visitato" xfId="10" builtinId="9" hidden="1"/>
    <cellStyle name="Collegamento visitato" xfId="12" builtinId="9" hidden="1"/>
    <cellStyle name="Collegamento visitato" xfId="14" builtinId="9" hidden="1"/>
    <cellStyle name="Collegamento visitato" xfId="16" builtinId="9" hidden="1"/>
    <cellStyle name="Collegamento visitato" xfId="18" builtinId="9" hidden="1"/>
    <cellStyle name="Collegamento visitato" xfId="20" builtinId="9" hidden="1"/>
    <cellStyle name="Collegamento visitato" xfId="22" builtinId="9" hidden="1"/>
    <cellStyle name="Collegamento visitato" xfId="24" builtinId="9" hidden="1"/>
    <cellStyle name="Collegamento visitato" xfId="26" builtinId="9" hidden="1"/>
    <cellStyle name="Collegamento visitato" xfId="28" builtinId="9" hidden="1"/>
    <cellStyle name="Collegamento visitato" xfId="30" builtinId="9" hidden="1"/>
    <cellStyle name="Collegamento visitato" xfId="32" builtinId="9" hidden="1"/>
    <cellStyle name="Collegamento visitato" xfId="34" builtinId="9" hidden="1"/>
    <cellStyle name="Collegamento visitato" xfId="36" builtinId="9" hidden="1"/>
    <cellStyle name="Collegamento visitato" xfId="38" builtinId="9" hidden="1"/>
    <cellStyle name="Collegamento visitato" xfId="40" builtinId="9" hidden="1"/>
    <cellStyle name="Collegamento visitato" xfId="42" builtinId="9" hidden="1"/>
    <cellStyle name="Collegamento visitato" xfId="44" builtinId="9" hidden="1"/>
    <cellStyle name="Collegamento visitato" xfId="46" builtinId="9" hidden="1"/>
    <cellStyle name="Collegamento visitato" xfId="48" builtinId="9" hidden="1"/>
    <cellStyle name="Collegamento visitato" xfId="50" builtinId="9" hidden="1"/>
    <cellStyle name="Collegamento visitato" xfId="52" builtinId="9" hidden="1"/>
    <cellStyle name="Collegamento visitato" xfId="54" builtinId="9" hidden="1"/>
    <cellStyle name="Collegamento visitato" xfId="56" builtinId="9" hidden="1"/>
    <cellStyle name="Collegamento visitato" xfId="58" builtinId="9" hidden="1"/>
    <cellStyle name="Collegamento visitato" xfId="60" builtinId="9" hidden="1"/>
    <cellStyle name="Collegamento visitato" xfId="62" builtinId="9" hidden="1"/>
    <cellStyle name="Collegamento visitato" xfId="64" builtinId="9" hidden="1"/>
    <cellStyle name="Collegamento visitato" xfId="66" builtinId="9" hidden="1"/>
    <cellStyle name="Collegamento visitato" xfId="68" builtinId="9" hidden="1"/>
    <cellStyle name="Collegamento visitato" xfId="70" builtinId="9" hidden="1"/>
    <cellStyle name="Collegamento visitato" xfId="72" builtinId="9" hidden="1"/>
    <cellStyle name="Collegamento visitato" xfId="74" builtinId="9" hidden="1"/>
    <cellStyle name="Collegamento visitato" xfId="76" builtinId="9" hidden="1"/>
    <cellStyle name="Collegamento visitato" xfId="78" builtinId="9" hidden="1"/>
    <cellStyle name="Collegamento visitato" xfId="80" builtinId="9" hidden="1"/>
    <cellStyle name="Collegamento visitato" xfId="82" builtinId="9" hidden="1"/>
    <cellStyle name="Collegamento visitato" xfId="84" builtinId="9" hidden="1"/>
    <cellStyle name="Collegamento visitato" xfId="86" builtinId="9" hidden="1"/>
    <cellStyle name="Collegamento visitato" xfId="88" builtinId="9" hidden="1"/>
    <cellStyle name="Collegamento visitato" xfId="90" builtinId="9" hidden="1"/>
    <cellStyle name="Collegamento visitato" xfId="92" builtinId="9" hidden="1"/>
    <cellStyle name="Collegamento visitato" xfId="94" builtinId="9" hidden="1"/>
    <cellStyle name="Collegamento visitato" xfId="96" builtinId="9" hidden="1"/>
    <cellStyle name="Collegamento visitato" xfId="98" builtinId="9" hidden="1"/>
    <cellStyle name="Collegamento visitato" xfId="100" builtinId="9" hidden="1"/>
    <cellStyle name="Collegamento visitato" xfId="102" builtinId="9" hidden="1"/>
    <cellStyle name="Collegamento visitato" xfId="104" builtinId="9" hidden="1"/>
    <cellStyle name="Collegamento visitato" xfId="106" builtinId="9" hidden="1"/>
    <cellStyle name="Collegamento visitato" xfId="108" builtinId="9" hidden="1"/>
    <cellStyle name="Collegamento visitato" xfId="110" builtinId="9" hidden="1"/>
    <cellStyle name="Collegamento visitato" xfId="112" builtinId="9" hidden="1"/>
    <cellStyle name="Collegamento visitato" xfId="114" builtinId="9" hidden="1"/>
    <cellStyle name="Collegamento visitato" xfId="119" builtinId="9" hidden="1"/>
    <cellStyle name="Collegamento visitato" xfId="120" builtinId="9" hidden="1"/>
    <cellStyle name="Collegamento visitato" xfId="121" builtinId="9" hidden="1"/>
    <cellStyle name="Collegamento visitato" xfId="122" builtinId="9" hidden="1"/>
    <cellStyle name="Collegamento visitato" xfId="123" builtinId="9" hidden="1"/>
    <cellStyle name="Collegamento visitato" xfId="124" builtinId="9" hidden="1"/>
    <cellStyle name="Collegamento visitato" xfId="125" builtinId="9" hidden="1"/>
    <cellStyle name="Collegamento visitato" xfId="126" builtinId="9" hidden="1"/>
    <cellStyle name="Collegamento visitato" xfId="127" builtinId="9" hidden="1"/>
    <cellStyle name="Collegamento visitato" xfId="128" builtinId="9" hidden="1"/>
    <cellStyle name="Collegamento visitato" xfId="129" builtinId="9" hidden="1"/>
    <cellStyle name="Collegamento visitato" xfId="130" builtinId="9" hidden="1"/>
    <cellStyle name="Collegamento visitato" xfId="131" builtinId="9" hidden="1"/>
    <cellStyle name="Collegamento visitato" xfId="132" builtinId="9" hidden="1"/>
    <cellStyle name="Collegamento visitato" xfId="133" builtinId="9" hidden="1"/>
    <cellStyle name="Collegamento visitato" xfId="134" builtinId="9" hidden="1"/>
    <cellStyle name="Collegamento visitato" xfId="135" builtinId="9" hidden="1"/>
    <cellStyle name="Collegamento visitato" xfId="136" builtinId="9" hidden="1"/>
    <cellStyle name="Collegamento visitato" xfId="137" builtinId="9" hidden="1"/>
    <cellStyle name="Collegamento visitato" xfId="138" builtinId="9" hidden="1"/>
    <cellStyle name="Collegamento visitato" xfId="139" builtinId="9" hidden="1"/>
    <cellStyle name="Collegamento visitato" xfId="140" builtinId="9" hidden="1"/>
    <cellStyle name="Collegamento visitato" xfId="141" builtinId="9" hidden="1"/>
    <cellStyle name="Collegamento visitato" xfId="142" builtinId="9" hidden="1"/>
    <cellStyle name="Collegamento visitato" xfId="143" builtinId="9" hidden="1"/>
    <cellStyle name="Collegamento visitato" xfId="144" builtinId="9" hidden="1"/>
    <cellStyle name="Collegamento visitato" xfId="145" builtinId="9" hidden="1"/>
    <cellStyle name="Collegamento visitato" xfId="146" builtinId="9" hidden="1"/>
    <cellStyle name="Collegamento visitato" xfId="147" builtinId="9" hidden="1"/>
    <cellStyle name="Collegamento visitato" xfId="148" builtinId="9" hidden="1"/>
    <cellStyle name="Collegamento visitato" xfId="149" builtinId="9" hidden="1"/>
    <cellStyle name="Collegamento visitato" xfId="150" builtinId="9" hidden="1"/>
    <cellStyle name="Collegamento visitato" xfId="151" builtinId="9" hidden="1"/>
    <cellStyle name="Collegamento visitato" xfId="152" builtinId="9" hidden="1"/>
    <cellStyle name="Collegamento visitato" xfId="153" builtinId="9" hidden="1"/>
    <cellStyle name="Collegamento visitato" xfId="154" builtinId="9" hidden="1"/>
    <cellStyle name="Collegamento visitato" xfId="155" builtinId="9" hidden="1"/>
    <cellStyle name="Collegamento visitato" xfId="156" builtinId="9" hidden="1"/>
    <cellStyle name="Collegamento visitato" xfId="157" builtinId="9" hidden="1"/>
    <cellStyle name="Collegamento visitato" xfId="158" builtinId="9" hidden="1"/>
    <cellStyle name="Collegamento visitato" xfId="159" builtinId="9" hidden="1"/>
    <cellStyle name="Collegamento visitato" xfId="160" builtinId="9" hidden="1"/>
    <cellStyle name="Collegamento visitato" xfId="161" builtinId="9" hidden="1"/>
    <cellStyle name="Collegamento visitato" xfId="162" builtinId="9" hidden="1"/>
    <cellStyle name="Collegamento visitato" xfId="163" builtinId="9" hidden="1"/>
    <cellStyle name="Collegamento visitato" xfId="164" builtinId="9" hidden="1"/>
    <cellStyle name="Collegamento visitato" xfId="165" builtinId="9" hidden="1"/>
    <cellStyle name="Collegamento visitato" xfId="166" builtinId="9" hidden="1"/>
    <cellStyle name="Collegamento visitato" xfId="167" builtinId="9" hidden="1"/>
    <cellStyle name="Collegamento visitato" xfId="168" builtinId="9" hidden="1"/>
    <cellStyle name="Collegamento visitato" xfId="169" builtinId="9" hidden="1"/>
    <cellStyle name="Collegamento visitato" xfId="170" builtinId="9" hidden="1"/>
    <cellStyle name="Collegamento visitato" xfId="171" builtinId="9" hidden="1"/>
    <cellStyle name="Collegamento visitato" xfId="172" builtinId="9" hidden="1"/>
    <cellStyle name="Collegamento visitato" xfId="173" builtinId="9" hidden="1"/>
    <cellStyle name="Collegamento visitato" xfId="174" builtinId="9" hidden="1"/>
    <cellStyle name="Collegamento visitato" xfId="175" builtinId="9" hidden="1"/>
    <cellStyle name="Collegamento visitato" xfId="176" builtinId="9" hidden="1"/>
    <cellStyle name="Collegamento visitato" xfId="177" builtinId="9" hidden="1"/>
    <cellStyle name="Collegamento visitato" xfId="178" builtinId="9" hidden="1"/>
    <cellStyle name="Collegamento visitato" xfId="179" builtinId="9" hidden="1"/>
    <cellStyle name="Collegamento visitato" xfId="180" builtinId="9" hidden="1"/>
    <cellStyle name="Collegamento visitato" xfId="181" builtinId="9" hidden="1"/>
    <cellStyle name="Collegamento visitato" xfId="185" builtinId="9" hidden="1"/>
    <cellStyle name="Collegamento visitato" xfId="186" builtinId="9" hidden="1"/>
    <cellStyle name="Collegamento visitato" xfId="187" builtinId="9" hidden="1"/>
    <cellStyle name="Collegamento visitato" xfId="188" builtinId="9" hidden="1"/>
    <cellStyle name="Collegamento visitato" xfId="189" builtinId="9" hidden="1"/>
    <cellStyle name="Collegamento visitato" xfId="190" builtinId="9" hidden="1"/>
    <cellStyle name="Collegamento visitato" xfId="191" builtinId="9" hidden="1"/>
    <cellStyle name="Collegamento visitato" xfId="192" builtinId="9" hidden="1"/>
    <cellStyle name="Collegamento visitato" xfId="193" builtinId="9" hidden="1"/>
    <cellStyle name="Collegamento visitato" xfId="194" builtinId="9" hidden="1"/>
    <cellStyle name="Collegamento visitato" xfId="195" builtinId="9" hidden="1"/>
    <cellStyle name="Collegamento visitato" xfId="196" builtinId="9" hidden="1"/>
    <cellStyle name="Collegamento visitato" xfId="197" builtinId="9" hidden="1"/>
    <cellStyle name="Collegamento visitato" xfId="198" builtinId="9" hidden="1"/>
    <cellStyle name="Collegamento visitato" xfId="199" builtinId="9" hidden="1"/>
    <cellStyle name="Collegamento visitato" xfId="200" builtinId="9" hidden="1"/>
    <cellStyle name="Collegamento visitato" xfId="201" builtinId="9" hidden="1"/>
    <cellStyle name="Collegamento visitato" xfId="202" builtinId="9" hidden="1"/>
    <cellStyle name="Collegamento visitato" xfId="203" builtinId="9" hidden="1"/>
    <cellStyle name="Collegamento visitato" xfId="204" builtinId="9" hidden="1"/>
    <cellStyle name="Collegamento visitato" xfId="205" builtinId="9" hidden="1"/>
    <cellStyle name="Collegamento visitato" xfId="206" builtinId="9" hidden="1"/>
    <cellStyle name="Collegamento visitato" xfId="207" builtinId="9" hidden="1"/>
    <cellStyle name="Collegamento visitato" xfId="208" builtinId="9" hidden="1"/>
    <cellStyle name="Collegamento visitato" xfId="209" builtinId="9" hidden="1"/>
    <cellStyle name="Collegamento visitato" xfId="211" builtinId="9" hidden="1"/>
    <cellStyle name="Collegamento visitato" xfId="212" builtinId="9" hidden="1"/>
    <cellStyle name="Collegamento visitato" xfId="214" builtinId="9" hidden="1"/>
    <cellStyle name="Collegamento visitato" xfId="217" builtinId="9" hidden="1"/>
    <cellStyle name="Collegamento visitato" xfId="218" builtinId="9" hidden="1"/>
    <cellStyle name="Collegamento visitato" xfId="219" builtinId="9" hidden="1"/>
    <cellStyle name="Collegamento visitato" xfId="220" builtinId="9" hidden="1"/>
    <cellStyle name="Collegamento visitato" xfId="221" builtinId="9" hidden="1"/>
    <cellStyle name="Collegamento visitato" xfId="222" builtinId="9" hidden="1"/>
    <cellStyle name="Collegamento visitato" xfId="223" builtinId="9" hidden="1"/>
    <cellStyle name="Collegamento visitato" xfId="224" builtinId="9" hidden="1"/>
    <cellStyle name="Collegamento visitato" xfId="225" builtinId="9" hidden="1"/>
    <cellStyle name="Collegamento visitato" xfId="226" builtinId="9" hidden="1"/>
    <cellStyle name="Collegamento visitato" xfId="227" builtinId="9" hidden="1"/>
    <cellStyle name="Collegamento visitato" xfId="228" builtinId="9" hidden="1"/>
    <cellStyle name="Collegamento visitato" xfId="229" builtinId="9" hidden="1"/>
    <cellStyle name="Collegamento visitato" xfId="230" builtinId="9" hidden="1"/>
    <cellStyle name="Collegamento visitato" xfId="231" builtinId="9" hidden="1"/>
    <cellStyle name="Collegamento visitato" xfId="232" builtinId="9" hidden="1"/>
    <cellStyle name="Collegamento visitato" xfId="233" builtinId="9" hidden="1"/>
    <cellStyle name="Collegamento visitato" xfId="234" builtinId="9" hidden="1"/>
    <cellStyle name="Collegamento visitato" xfId="235" builtinId="9" hidden="1"/>
    <cellStyle name="Collegamento visitato" xfId="236" builtinId="9" hidden="1"/>
    <cellStyle name="Collegamento visitato" xfId="237" builtinId="9" hidden="1"/>
    <cellStyle name="Collegamento visitato" xfId="238" builtinId="9" hidden="1"/>
    <cellStyle name="Collegamento visitato" xfId="239" builtinId="9" hidden="1"/>
    <cellStyle name="Collegamento visitato" xfId="240" builtinId="9" hidden="1"/>
    <cellStyle name="Collegamento visitato" xfId="241" builtinId="9" hidden="1"/>
    <cellStyle name="Collegamento visitato" xfId="242" builtinId="9" hidden="1"/>
    <cellStyle name="Collegamento visitato" xfId="243" builtinId="9" hidden="1"/>
    <cellStyle name="Collegamento visitato" xfId="244" builtinId="9" hidden="1"/>
    <cellStyle name="Collegamento visitato" xfId="245" builtinId="9" hidden="1"/>
    <cellStyle name="Collegamento visitato" xfId="246" builtinId="9" hidden="1"/>
    <cellStyle name="Collegamento visitato" xfId="247" builtinId="9" hidden="1"/>
    <cellStyle name="Collegamento visitato" xfId="248" builtinId="9" hidden="1"/>
    <cellStyle name="Collegamento visitato" xfId="249" builtinId="9" hidden="1"/>
    <cellStyle name="Collegamento visitato" xfId="250" builtinId="9" hidden="1"/>
    <cellStyle name="Collegamento visitato" xfId="251" builtinId="9" hidden="1"/>
    <cellStyle name="Collegamento visitato" xfId="252" builtinId="9" hidden="1"/>
    <cellStyle name="Collegamento visitato" xfId="253" builtinId="9" hidden="1"/>
    <cellStyle name="Collegamento visitato" xfId="254" builtinId="9" hidden="1"/>
    <cellStyle name="Collegamento visitato" xfId="255" builtinId="9" hidden="1"/>
    <cellStyle name="Collegamento visitato" xfId="256" builtinId="9" hidden="1"/>
    <cellStyle name="Collegamento visitato" xfId="257" builtinId="9" hidden="1"/>
    <cellStyle name="Collegamento visitato" xfId="258" builtinId="9" hidden="1"/>
    <cellStyle name="Collegamento visitato" xfId="259" builtinId="9" hidden="1"/>
    <cellStyle name="Collegamento visitato" xfId="260" builtinId="9" hidden="1"/>
    <cellStyle name="Collegamento visitato" xfId="261" builtinId="9" hidden="1"/>
    <cellStyle name="Collegamento visitato" xfId="262" builtinId="9" hidden="1"/>
    <cellStyle name="Collegamento visitato" xfId="263" builtinId="9" hidden="1"/>
    <cellStyle name="Collegamento visitato" xfId="264" builtinId="9" hidden="1"/>
    <cellStyle name="Collegamento visitato" xfId="265" builtinId="9" hidden="1"/>
    <cellStyle name="Collegamento visitato" xfId="266" builtinId="9" hidden="1"/>
    <cellStyle name="Collegamento visitato" xfId="267" builtinId="9" hidden="1"/>
    <cellStyle name="Collegamento visitato" xfId="268" builtinId="9" hidden="1"/>
    <cellStyle name="Collegamento visitato" xfId="269" builtinId="9" hidden="1"/>
    <cellStyle name="Collegamento visitato" xfId="270" builtinId="9" hidden="1"/>
    <cellStyle name="Collegamento visitato" xfId="271" builtinId="9" hidden="1"/>
    <cellStyle name="Collegamento visitato" xfId="272" builtinId="9" hidden="1"/>
    <cellStyle name="Collegamento visitato" xfId="273" builtinId="9" hidden="1"/>
    <cellStyle name="Collegamento visitato" xfId="274" builtinId="9" hidden="1"/>
    <cellStyle name="Collegamento visitato" xfId="275" builtinId="9" hidden="1"/>
    <cellStyle name="Collegamento visitato" xfId="276" builtinId="9" hidden="1"/>
    <cellStyle name="Collegamento visitato" xfId="277" builtinId="9" hidden="1"/>
    <cellStyle name="Collegamento visitato" xfId="278" builtinId="9" hidden="1"/>
    <cellStyle name="Collegamento visitato" xfId="279" builtinId="9" hidden="1"/>
    <cellStyle name="Collegamento visitato" xfId="280" builtinId="9" hidden="1"/>
    <cellStyle name="Collegamento visitato" xfId="281" builtinId="9" hidden="1"/>
    <cellStyle name="Collegamento visitato" xfId="282" builtinId="9" hidden="1"/>
    <cellStyle name="Colore6" xfId="182" builtinId="49"/>
    <cellStyle name="Comma 2" xfId="213"/>
    <cellStyle name="Neutro 2" xfId="184"/>
    <cellStyle name="Normal 2" xfId="210"/>
    <cellStyle name="Normale" xfId="0" builtinId="0"/>
    <cellStyle name="Normale 2" xfId="115"/>
    <cellStyle name="Normale_Foglio1" xfId="215"/>
    <cellStyle name="Percentuale" xfId="2" builtinId="5"/>
    <cellStyle name="Percentuale 2" xfId="117"/>
    <cellStyle name="Virgola" xfId="1" builtinId="3"/>
    <cellStyle name="Virgola 2" xfId="118"/>
    <cellStyle name="Virgola 3" xfId="183"/>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externalLink" Target="externalLinks/externalLink1.xml"/><Relationship Id="rId8" Type="http://schemas.openxmlformats.org/officeDocument/2006/relationships/theme" Target="theme/theme1.xml"/><Relationship Id="rId9" Type="http://schemas.openxmlformats.org/officeDocument/2006/relationships/styles" Target="styles.xml"/><Relationship Id="rId10" Type="http://schemas.openxmlformats.org/officeDocument/2006/relationships/sharedStrings" Target="sharedStrings.xml"/><Relationship Id="rId11"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iuseppefarace/Desktop/INDICATORI%20POR%2014-20/PORCAL%20FESR%2014-20_PF%20Azioni%20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lenco"/>
      <sheetName val="TABB_OP"/>
      <sheetName val="PF_POR FESR"/>
      <sheetName val="PF Azioni"/>
    </sheetNames>
    <sheetDataSet>
      <sheetData sheetId="0">
        <row r="3">
          <cell r="D3" t="str">
            <v xml:space="preserve">001 Investimenti produttivi generici nelle piccole e medie imprese ("PMI") </v>
          </cell>
        </row>
        <row r="4">
          <cell r="D4" t="str">
            <v xml:space="preserve">002 Processi di ricerca e innovazione nelle grandi imprese </v>
          </cell>
        </row>
        <row r="5">
          <cell r="D5" t="str">
            <v xml:space="preserve">003 Investimenti produttivi nelle grandi imprese collegati a un'economia a basse emis­ sioni di carbonio </v>
          </cell>
        </row>
        <row r="6">
          <cell r="D6" t="str">
            <v xml:space="preserve">004 Investimenti produttivi collegati alla cooperazione tra grandi imprese e PMI per sviluppare prodotti e servizi nell'ambito delle tecnologie dell'informazione e della comunicazione ("TIC") e del commercio elettronico e per stimolare la domanda di TIC </v>
          </cell>
        </row>
        <row r="7">
          <cell r="D7" t="str">
            <v xml:space="preserve">005 Energia elettrica (stoccaggio e trasmissione) </v>
          </cell>
        </row>
        <row r="8">
          <cell r="D8" t="str">
            <v xml:space="preserve">006 Energia elettrica (stoccaggio e trasmissione TEN-E) </v>
          </cell>
        </row>
        <row r="9">
          <cell r="D9" t="str">
            <v xml:space="preserve">007 Gas naturale </v>
          </cell>
        </row>
        <row r="10">
          <cell r="D10" t="str">
            <v xml:space="preserve">008 Gas naturale (TEN-E) </v>
          </cell>
        </row>
        <row r="11">
          <cell r="D11" t="str">
            <v xml:space="preserve">009 Energie rinnovabili: eolica </v>
          </cell>
        </row>
        <row r="12">
          <cell r="D12" t="str">
            <v xml:space="preserve">010 Energie rinnovabili: solare </v>
          </cell>
        </row>
        <row r="13">
          <cell r="D13" t="str">
            <v xml:space="preserve">011 Energie rinnovabili: biomassa </v>
          </cell>
        </row>
        <row r="14">
          <cell r="D14" t="str">
            <v xml:space="preserve">012 Altre energie rinnovabili (inclusa quella idroelettrica, geotermica e marina) e inte­ grazione di energie rinnovabili (incluso lo stoccaggio, l'alimentazione di infrastrut­ ture per la produzione di gas e di idrogeno rinnovabile) </v>
          </cell>
        </row>
        <row r="15">
          <cell r="D15" t="str">
            <v xml:space="preserve">013 Rinnovo di infrastrutture pubbliche sul piano dell'efficienza energetica, progetti dimostrativi e misure di sostegno </v>
          </cell>
        </row>
        <row r="16">
          <cell r="D16" t="str">
            <v xml:space="preserve">014 Rinnovo della dotazione di alloggi sul piano dell'efficienza energetica, progetti dimostrativi e misure di sostegno </v>
          </cell>
        </row>
        <row r="17">
          <cell r="D17" t="str">
            <v xml:space="preserve">015 Sistemi di distribuzione di energia intelligenti a media e bassa tensione (comprese le reti intelligenti e i sistemi TIC) </v>
          </cell>
        </row>
        <row r="18">
          <cell r="D18" t="str">
            <v xml:space="preserve">016 Cogenerazione e teleriscaldamento ad alto rendimento </v>
          </cell>
        </row>
        <row r="19">
          <cell r="D19" t="str">
            <v xml:space="preserve">017 Gestione dei rifiuti domestici (comprese le misure di minimizzazione, di smista­ mento e di riciclaggio) </v>
          </cell>
        </row>
        <row r="20">
          <cell r="D20" t="str">
            <v xml:space="preserve">018 Gestione dei rifiuti domestici (comprese le misure per il trattamento meccanico- biologico, il trattamento termico, l'incenerimento e la discarica) </v>
          </cell>
        </row>
        <row r="21">
          <cell r="D21" t="str">
            <v xml:space="preserve">019 Gestione dei rifiuti commerciali, industriali o pericolosi </v>
          </cell>
        </row>
        <row r="22">
          <cell r="D22" t="str">
            <v xml:space="preserve">020 Fornitura di acqua per il consumo umano (estrazione, trattamento, stoccaggio e infrastrutture di distribuzione) </v>
          </cell>
        </row>
        <row r="23">
          <cell r="D23" t="str">
            <v xml:space="preserve">021 Gestione dell'acqua e conservazione dell'acqua potabile (compresa la gestione dei bacini idrografici, l'approvvigionamento di acqua, specifiche misure di adattamento ai cambiamenti climatici, la misurazione dei consumi a livello di distretti idrici e di utenti, sistemi di tariffazione e riduzione delle perdite) </v>
          </cell>
        </row>
        <row r="24">
          <cell r="D24" t="str">
            <v xml:space="preserve">022 Trattamento delle acque reflue </v>
          </cell>
        </row>
        <row r="25">
          <cell r="D25" t="str">
            <v xml:space="preserve">023 Misure ambientali volte a ridurre e/o evitare le emissioni di gas a effetto serra (incluso il trattamento e lo stoccaggio di gas metano e il compostaggio) </v>
          </cell>
        </row>
        <row r="26">
          <cell r="D26" t="str">
            <v xml:space="preserve">024 Ferrovie (rete centrale RTE-T) </v>
          </cell>
        </row>
        <row r="27">
          <cell r="D27" t="str">
            <v xml:space="preserve">025 Ferrovie (rete globale RTE-T) </v>
          </cell>
        </row>
        <row r="28">
          <cell r="D28" t="str">
            <v xml:space="preserve">026 Altre reti ferroviarie </v>
          </cell>
        </row>
        <row r="29">
          <cell r="D29" t="str">
            <v xml:space="preserve">027 Infrastrutture ferroviarie mobili </v>
          </cell>
        </row>
        <row r="30">
          <cell r="D30" t="str">
            <v xml:space="preserve">028 Autostrade e strade RTE-T — rete centrale (nuova costruzione) </v>
          </cell>
        </row>
        <row r="31">
          <cell r="D31" t="str">
            <v xml:space="preserve">029 Autostrade e strade RTE-T — rete globale (nuova costruzione) </v>
          </cell>
        </row>
        <row r="32">
          <cell r="D32" t="str">
            <v xml:space="preserve">030 Collegamenti stradali secondari alle reti e ai nodi stradali RTE-T (nuova costruzione) </v>
          </cell>
        </row>
        <row r="33">
          <cell r="D33" t="str">
            <v>031 Altre strade nazionali e regionali (nuova costruzione)</v>
          </cell>
        </row>
        <row r="34">
          <cell r="D34" t="str">
            <v>032 Strade di accesso locali (nuova costruzione)</v>
          </cell>
        </row>
        <row r="35">
          <cell r="D35" t="str">
            <v>033 Strade ricostruite o migliorate RTE-T</v>
          </cell>
        </row>
        <row r="36">
          <cell r="D36" t="str">
            <v xml:space="preserve">034 Altre strade ricostruite o migliorate (autostrade, strade nazionali, regionali o locali) </v>
          </cell>
        </row>
        <row r="37">
          <cell r="D37" t="str">
            <v xml:space="preserve">035 Trasporti multimodali (RTE-T) </v>
          </cell>
        </row>
        <row r="38">
          <cell r="D38" t="str">
            <v xml:space="preserve">036 Trasporti multimodali </v>
          </cell>
        </row>
        <row r="39">
          <cell r="D39" t="str">
            <v xml:space="preserve">037 Aeroporti(RTE-T)(1) </v>
          </cell>
        </row>
        <row r="40">
          <cell r="D40" t="str">
            <v xml:space="preserve">038 Altri aeroporti(1) </v>
          </cell>
        </row>
        <row r="41">
          <cell r="D41" t="str">
            <v xml:space="preserve">039 Porti marittimi (RTE-T) </v>
          </cell>
        </row>
        <row r="42">
          <cell r="D42" t="str">
            <v xml:space="preserve">040 Altri porti marittimi </v>
          </cell>
        </row>
        <row r="43">
          <cell r="D43" t="str">
            <v xml:space="preserve">041 Vie navigabili interne e porti (RTE-T) </v>
          </cell>
        </row>
        <row r="44">
          <cell r="D44" t="str">
            <v xml:space="preserve">042 Vie navigabili interne e porti (regionali e locali) </v>
          </cell>
        </row>
        <row r="45">
          <cell r="D45" t="str">
            <v xml:space="preserve">043 Infrastrutture e promozione di trasporti urbani puliti (compresi gli impianti e il materiale rotabile) </v>
          </cell>
        </row>
        <row r="46">
          <cell r="D46" t="str">
            <v xml:space="preserve">044 Sistemi di trasporto intelligenti (compresa l'introduzione della gestione della do­ manda, sistemi di pedaggio, monitoraggio informatico, sistemi di informazione e controllo) </v>
          </cell>
        </row>
        <row r="47">
          <cell r="D47" t="str">
            <v xml:space="preserve">045 TIC: rete principale/rete di backhaul </v>
          </cell>
        </row>
        <row r="48">
          <cell r="D48" t="str">
            <v xml:space="preserve">046 TIC: rete a banda larga ad alta velocità (accesso/linea locale; &gt;/= 30 Mbps) </v>
          </cell>
        </row>
        <row r="49">
          <cell r="D49" t="str">
            <v xml:space="preserve">047 TIC: rete a banda larga ad altissima velocità (accesso/linea locale; &gt;/= 100 Mbps) </v>
          </cell>
        </row>
        <row r="50">
          <cell r="D50" t="str">
            <v xml:space="preserve">048 TIC: altri tipi di infrastrutture TIC/risorse informatiche/impianti di grandi dimen­ sioni (comprese infrastrutture elettroniche, centri di dati e sensori; anche quando integrate in altre infrastrutture, quali strutture di ricerca, infrastrutture ambientali e sociali) </v>
          </cell>
        </row>
        <row r="51">
          <cell r="D51" t="str">
            <v xml:space="preserve">049 Infrastrutture didattiche per l'istruzione terziaria </v>
          </cell>
        </row>
        <row r="52">
          <cell r="D52" t="str">
            <v xml:space="preserve">050 Infrastrutture didattiche per l'istruzione e la formazione professionale e l'apprendi­ mento per gli adulti </v>
          </cell>
        </row>
        <row r="53">
          <cell r="D53" t="str">
            <v xml:space="preserve">051 Infrastrutture didattiche per l'istruzione scolastica (istruzione primaria e istruzione generale secondaria) </v>
          </cell>
        </row>
        <row r="54">
          <cell r="D54" t="str">
            <v xml:space="preserve">052 Infrastrutture per l'educazione e la cura della prima infanzia </v>
          </cell>
        </row>
        <row r="55">
          <cell r="D55" t="str">
            <v xml:space="preserve">053 Infrastrutture per la sanità </v>
          </cell>
        </row>
        <row r="56">
          <cell r="D56" t="str">
            <v xml:space="preserve">054 Infrastrutture edilizie </v>
          </cell>
        </row>
        <row r="57">
          <cell r="D57" t="str">
            <v xml:space="preserve">055 Altre infrastrutture sociali che contribuiscono allo sviluppo regionale e locale </v>
          </cell>
        </row>
        <row r="58">
          <cell r="D58" t="str">
            <v xml:space="preserve">056 Investimenti in infrastrutture, capacità e attrezzature nelle PMI direttamente colle­ gati alle attività di ricerca e innovazione </v>
          </cell>
        </row>
        <row r="59">
          <cell r="D59" t="str">
            <v xml:space="preserve">057 Investimenti in infrastrutture, capacità e attrezzature nelle grandi imprese diretta­ mente collegati alle attività di ricerca e innovazione </v>
          </cell>
        </row>
        <row r="60">
          <cell r="D60" t="str">
            <v xml:space="preserve">058 Infrastrutture di ricerca e innovazione (pubbliche) </v>
          </cell>
        </row>
        <row r="61">
          <cell r="D61" t="str">
            <v xml:space="preserve">059 Infrastrutture di ricerca e innovazione (private, compresi i parchi scientifici) </v>
          </cell>
        </row>
        <row r="62">
          <cell r="D62" t="str">
            <v xml:space="preserve">060 Attività di ricerca e innovazione in centri di ricerca e centri di competenza pubblici, incluso il collegamento in rete </v>
          </cell>
        </row>
        <row r="63">
          <cell r="D63" t="str">
            <v xml:space="preserve">061 Attività di ricerca e innovazione in centri di ricerca privati, incluso il collegamento in rete </v>
          </cell>
        </row>
        <row r="64">
          <cell r="D64" t="str">
            <v xml:space="preserve">062 Trasferimento di tecnologie e cooperazione tra università e imprese, principalmente a vantaggio delle PMI </v>
          </cell>
        </row>
        <row r="65">
          <cell r="D65" t="str">
            <v xml:space="preserve">063 Sostegno ai cluster e alle reti di imprese, principalmente a vantaggio delle PMI </v>
          </cell>
        </row>
        <row r="66">
          <cell r="D66" t="str">
            <v xml:space="preserve">064 Processi di ricerca e innovazione nelle PMI (compresi i sistemi di buoni, il processo, la progettazione, il servizio e l'innovazione sociale) </v>
          </cell>
        </row>
        <row r="67">
          <cell r="D67" t="str">
            <v xml:space="preserve">065 Infrastrutture di ricerca e di innovazione, processi, trasferimento di tecnologie e cooperazione nelle imprese incentrati sull'economia a basse emissioni di carbonio e sulla resilienza ai cambiamenti climatici </v>
          </cell>
        </row>
        <row r="68">
          <cell r="D68" t="str">
            <v xml:space="preserve">066 Servizi avanzati di sostegno alle PMI e a gruppi di PMI (compresi i servizi di gestione, marketing e progettazione) </v>
          </cell>
        </row>
        <row r="69">
          <cell r="D69" t="str">
            <v xml:space="preserve">067 Sviluppo dell'attività delle PMI, sostegno all'imprenditorialità e all'incubazione (compreso il sostegno a spin off e spin out) </v>
          </cell>
        </row>
        <row r="70">
          <cell r="D70" t="str">
            <v xml:space="preserve">068 Efficienza energetica e progetti dimostrativi nelle PMI e misure di sostegno </v>
          </cell>
        </row>
        <row r="71">
          <cell r="D71" t="str">
            <v xml:space="preserve">069 Sostegno ai processi di produzione rispettosi dell'ambiente e all'efficienza delle risorse nelle PMI </v>
          </cell>
        </row>
        <row r="72">
          <cell r="D72" t="str">
            <v xml:space="preserve">070 Promozione dell'efficienza energetica nelle grandi imprese </v>
          </cell>
        </row>
        <row r="73">
          <cell r="D73" t="str">
            <v xml:space="preserve">071 Sviluppo e promozione di imprese specializzate nella fornitura di servizi che con­ tribuiscono all'economia a basse emissioni di carbonio e alla resilienza ai cambia­ menti climatici (compreso il sostegno a tali servizi) </v>
          </cell>
        </row>
        <row r="74">
          <cell r="D74" t="str">
            <v xml:space="preserve">072 Infrastrutture commerciali per le PMI (compresi i parchi e i siti industriali) </v>
          </cell>
        </row>
        <row r="75">
          <cell r="D75" t="str">
            <v>073 Sostegno alle imprese sociali (PMI)</v>
          </cell>
        </row>
        <row r="76">
          <cell r="D76" t="str">
            <v>074 Sviluppo e promozione dei beni turistici nelle PMI</v>
          </cell>
        </row>
        <row r="77">
          <cell r="D77" t="str">
            <v xml:space="preserve">075 Sviluppo e promozione dei servizi turistici nelle o per le PMI </v>
          </cell>
        </row>
        <row r="78">
          <cell r="D78" t="str">
            <v xml:space="preserve">076 Sviluppo e promozione dei beni culturali e creativi nelle PMI </v>
          </cell>
        </row>
        <row r="79">
          <cell r="D79" t="str">
            <v xml:space="preserve">077 Sviluppo e promozione dei servizi culturali e creativi nelle o per le PMI </v>
          </cell>
        </row>
        <row r="80">
          <cell r="D80" t="str">
            <v xml:space="preserve">078 Servizi e applicazioni di e-government (compresi gli appalti elettronici, le misure TIC a sostegno della riforma della pubblica amministrazione, la sicurezza informa­ tica, le misure relative alla fiducia e alla riservatezza, la giustizia elettronica e la democrazia elettronica) </v>
          </cell>
        </row>
        <row r="81">
          <cell r="D81" t="str">
            <v xml:space="preserve">079 Accesso alle informazioni relative al settore pubblico (compresi i dati aperti e- culture, le biblioteche digitali, i contenuti digitali e il turismo elettronico) </v>
          </cell>
        </row>
        <row r="82">
          <cell r="D82" t="str">
            <v xml:space="preserve">080 Servizi e applicazioni di inclusione digitale, accessibilità digitale, apprendimento per via elettronica e istruzione online, alfabetizzazione digitale </v>
          </cell>
        </row>
        <row r="83">
          <cell r="D83" t="str">
            <v xml:space="preserve">081 Soluzioni TIC volte ad affrontare la sfida dell'invecchiamento attivo e in buona salute nonché servizi e applicazioni per la sanità elettronica (compresa la teleassi­ stenza e la domotica per categorie deboli) </v>
          </cell>
        </row>
        <row r="84">
          <cell r="D84" t="str">
            <v xml:space="preserve">082 Servizi ed applicazioni TIC per le PMI (compreso il commercio elettronico, l'e- business e i processi aziendali in rete, i "laboratori viventi", gli imprenditori del web e le start-up nel settore delle TIC) </v>
          </cell>
        </row>
        <row r="85">
          <cell r="D85" t="str">
            <v xml:space="preserve">083 Misure per la qualità dell'aria </v>
          </cell>
        </row>
        <row r="86">
          <cell r="D86" t="str">
            <v xml:space="preserve">084 Prevenzione e riduzione integrate dell'inquinamento </v>
          </cell>
        </row>
        <row r="87">
          <cell r="D87" t="str">
            <v xml:space="preserve">085 Tutela e valorizzazione della biodiversità, protezione della natura e infrastrutture "verdi" </v>
          </cell>
        </row>
        <row r="88">
          <cell r="D88" t="str">
            <v xml:space="preserve">086 Tutela, ripristino e uso sostenibile dei siti Natura 2000 </v>
          </cell>
        </row>
        <row r="89">
          <cell r="D89" t="str">
            <v xml:space="preserve">087 Misure di adattamento ai cambiamenti climatici, prevenzione e gestione dei rischi connessi al clima, quali erosione, incendi, inondazioni, tempeste e siccità, comprese azioni di sensibilizzazione, protezione civile nonché sistemi e infrastrutture per la gestione delle catastrofi </v>
          </cell>
        </row>
        <row r="90">
          <cell r="D90" t="str">
            <v xml:space="preserve">088 Prevenzione e gestione dei rischi naturali non connessi al clima (ad esempio terremoti) e dei rischi collegati alle attività umane (ad esempio incidenti tecnolo­ gici), comprese le azioni di sensibilizzazione, la protezione civile e i sistemi e le infrastrutture per la gestione delle catastrofi </v>
          </cell>
        </row>
        <row r="91">
          <cell r="D91" t="str">
            <v xml:space="preserve">089 Recupero dei siti industriali e dei terreni contaminati </v>
          </cell>
        </row>
        <row r="92">
          <cell r="D92" t="str">
            <v xml:space="preserve">090 Piste ciclabili e percorsi pedonali </v>
          </cell>
        </row>
        <row r="93">
          <cell r="D93" t="str">
            <v xml:space="preserve">091 Sviluppo e promozione del potenziale turistico delle aree naturali </v>
          </cell>
        </row>
        <row r="94">
          <cell r="D94" t="str">
            <v xml:space="preserve">092 Protezione, sviluppo e promozione di beni turistici pubblici </v>
          </cell>
        </row>
        <row r="95">
          <cell r="D95" t="str">
            <v xml:space="preserve">093 Sviluppo e promozione di servizi turistici pubblici </v>
          </cell>
        </row>
        <row r="96">
          <cell r="D96" t="str">
            <v xml:space="preserve">094 Protezione, sviluppo e promozione del patrimonio culturale pubblico </v>
          </cell>
        </row>
        <row r="97">
          <cell r="D97" t="str">
            <v xml:space="preserve">095 Sviluppo e promozione di servizi culturali pubblici </v>
          </cell>
        </row>
        <row r="98">
          <cell r="D98" t="str">
            <v xml:space="preserve">096 Capacità istituzionale delle pubbliche amministrazioni e dei servizi pubblici relative all'attuazione del FESR o ad azioni a sostegno di iniziative inerenti all'asse "capacità istituzionale" del FSE </v>
          </cell>
        </row>
        <row r="99">
          <cell r="D99" t="str">
            <v xml:space="preserve">097 Iniziative di sviluppo locale nelle zone urbane e rurali realizzate dalla collettività </v>
          </cell>
        </row>
        <row r="100">
          <cell r="D100" t="str">
            <v xml:space="preserve">098 Regioni ultraperiferiche: compensazione dei costi supplementari dovuti a problemi di accessibilità e frammentazione territoriale </v>
          </cell>
        </row>
        <row r="101">
          <cell r="D101" t="str">
            <v xml:space="preserve">099 Regioni ultraperiferiche: interventi specifici destinati a compensare i costi supple­ mentari dovuti alle dimensioni del mercato </v>
          </cell>
        </row>
        <row r="102">
          <cell r="D102" t="str">
            <v xml:space="preserve">100 Regioni ultraperiferiche: sostegno destinato a compensare i costi supplementari dovuti alle condizioni climatiche e alle difficoltà di soccorso </v>
          </cell>
        </row>
        <row r="103">
          <cell r="D103" t="str">
            <v xml:space="preserve">101 Finanziamenti incrociati nel quadro del FESR (sostegno alle azioni di tipo FSE necessarie a garantire la corretta attuazione della componente FESR dell'operatività e ad essa direttamente collegate) </v>
          </cell>
        </row>
        <row r="104">
          <cell r="D104" t="str">
            <v>102 Accesso all'occupazione per le persone in cerca di lavoro e le persone inattive, compresi i disoccupati di lunga durata e le persone distanti dal mercato del lavoro, anche attraverso iniziative locali per l'occupazione e il sostegno alla mobilità dei lavoratori</v>
          </cell>
        </row>
        <row r="105">
          <cell r="D105" t="str">
            <v xml:space="preserve">103 Inserimento sostenibile dei giovani nel mercato del lavoro, in particolare di quelli disoccupati e non iscritti a corsi d'istruzione o di formazione, compresi i giovani a rischio di esclusione sociale e i giovani provenienti da comunità emarginate, anche mediante l'attuazione della "garanzia per i giovani" </v>
          </cell>
        </row>
        <row r="106">
          <cell r="D106" t="str">
            <v xml:space="preserve">104 Lavoro autonomo, imprenditorialità e creazione di imprese, comprese le micro, piccole e medie imprese creative </v>
          </cell>
        </row>
        <row r="107">
          <cell r="D107" t="str">
            <v xml:space="preserve">105 Parità tra uomini e donne in tutti i campi, anche in materia di accesso al lavoro, progressione nella carriera, conciliazione tra vita professionale e vita privata e promozione della parità di retribuzione per lavoro di pari valore </v>
          </cell>
        </row>
        <row r="108">
          <cell r="D108" t="str">
            <v>106 Adattamento al cambiamento da parte di lavoratori, imprese e imprenditori</v>
          </cell>
        </row>
        <row r="109">
          <cell r="D109" t="str">
            <v>107 Invecchiamento attivo e in buona salute</v>
          </cell>
        </row>
        <row r="110">
          <cell r="D110" t="str">
            <v xml:space="preserve">108 Modernizzazione delle istituzioni del mercato del lavoro, come i servizi di collocamento pubblici e privati e migliore soddisfazione delle esigenze del mercato del lavoro, anche attraverso interventi a favore della mobilità transnazionale dei lavoratori, nonché programmi di mobilità e una migliore cooperazione tra istituzioni e parti interessate </v>
          </cell>
        </row>
        <row r="111">
          <cell r="D111" t="str">
            <v xml:space="preserve">109 Inclusione attiva, anche al fine di promuovere le pari opportunità, e partecipazione attiva, nonché migliore occupabilità </v>
          </cell>
        </row>
        <row r="112">
          <cell r="D112" t="str">
            <v>110 Integrazione socioeconomica delle comunità emarginate quali i Rom</v>
          </cell>
        </row>
        <row r="113">
          <cell r="D113" t="str">
            <v>111 Lotta contro tutte le forme di discriminazione e promozione delle pari opportunità</v>
          </cell>
        </row>
        <row r="114">
          <cell r="D114" t="str">
            <v xml:space="preserve">112 Miglioramento dell'accesso a servizi abbordabili, sostenibili e di qualità, compresi i servizi sociali e le cure sanitarie d'interesse generale </v>
          </cell>
        </row>
        <row r="115">
          <cell r="D115" t="str">
            <v xml:space="preserve">113 Promozione dell'imprenditoria sociale e dell'inserimento professionale nelle imprese sociali e dell'economia sociale e solidale per facilitare l'accesso al lavoro </v>
          </cell>
        </row>
        <row r="116">
          <cell r="D116" t="str">
            <v xml:space="preserve">114 Strategie di sviluppo locale realizzate dalla collettività </v>
          </cell>
        </row>
        <row r="117">
          <cell r="D117" t="str">
            <v xml:space="preserve">115 Riduzione e prevenzione dell'abbandono scolastico prematuro e promozione della parità di accesso a un'istruzione prescolare, primaria e secondaria di qualità, inclusi i percorsi di apprendimento di tipo formale, non formale e informale, per il reinserimento nell'istruzione e nella formazione </v>
          </cell>
        </row>
        <row r="118">
          <cell r="D118" t="str">
            <v xml:space="preserve">116 Miglioramento della qualità e dell'efficienza e dell'accessibilità all'istruzione terziaria e di livello equivalente al fine di aumentare la partecipazione e i livelli di istruzione, in particolare per i gruppi svantaggiati </v>
          </cell>
        </row>
        <row r="119">
          <cell r="D119" t="str">
            <v xml:space="preserve">117 Miglioramento della parità di accesso all'apprendimento lungo tutto l'arco della vita per tutte le fasce di età in contesti formali, non formali e informali, innalzamento delle conoscenze, delle capacità e delle competenze della forza lavoro e promozione di percorsi di apprendimento flessibili anche attraverso l'orientamento professionale e la convalida delle competenze acquisite </v>
          </cell>
        </row>
        <row r="120">
          <cell r="D120" t="str">
            <v xml:space="preserve">118 Adozione di sistemi di istruzione e di formazione maggiormente rilevanti per il mercato del lavoro, facilitando la transizione dall'istruzione al lavoro e potenziando i sistemi di istruzione e formazione professionale e la loro qualità, anche attraverso meccanismi per l'anticipazione delle capacità, l'adeguamento dei piani di studio e l'introduzione e lo sviluppo di programmi di apprendimento basati sul lavoro, inclusi i sistemi di apprendimento duale e di apprendistato </v>
          </cell>
        </row>
        <row r="121">
          <cell r="D121" t="str">
            <v>119 Investimenti nella capacità istituzionale e nell'efficienza delle pubbliche amministrazioni e dei servizi pubblici a livello nazionale, regionale e locale al fine di promuovere le riforme, una migliore regolamentazione e la good governance</v>
          </cell>
        </row>
        <row r="122">
          <cell r="D122" t="str">
            <v>120 Potenziamento delle capacità di tutte le parti interessate che operano nei settori dell'istruzione, dell'apprendimento lungo tutto l'arco della vita, della formazione e delle politiche sociali, anche attraverso patti settoriali e territoriali di mobilitazione per una riforma a livello nazionale, regionale e locale</v>
          </cell>
        </row>
        <row r="123">
          <cell r="D123" t="str">
            <v>121 Preparazione, attuazione, sorveglianza e ispezioni</v>
          </cell>
        </row>
        <row r="124">
          <cell r="D124" t="str">
            <v>122 Valutazione e studi</v>
          </cell>
        </row>
        <row r="125">
          <cell r="D125" t="str">
            <v xml:space="preserve">123 Informazione e comunicazione </v>
          </cell>
        </row>
      </sheetData>
      <sheetData sheetId="1" refreshError="1"/>
      <sheetData sheetId="2" refreshError="1"/>
      <sheetData sheetId="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tint="-0.249977111117893"/>
  </sheetPr>
  <dimension ref="A1:N87"/>
  <sheetViews>
    <sheetView topLeftCell="A54" zoomScale="130" zoomScaleNormal="130" zoomScalePageLayoutView="130" workbookViewId="0">
      <selection activeCell="A85" sqref="A85"/>
    </sheetView>
  </sheetViews>
  <sheetFormatPr baseColWidth="10" defaultColWidth="8.83203125" defaultRowHeight="14" x14ac:dyDescent="0"/>
  <cols>
    <col min="1" max="1" width="80.5" style="117" customWidth="1"/>
    <col min="2" max="2" width="15.33203125" style="114" bestFit="1" customWidth="1"/>
    <col min="3" max="3" width="9.1640625" style="115" customWidth="1"/>
    <col min="4" max="4" width="13.83203125" style="116" customWidth="1"/>
    <col min="5" max="5" width="8.83203125" style="115" bestFit="1" customWidth="1"/>
    <col min="6" max="6" width="12.33203125" style="117" customWidth="1"/>
    <col min="7" max="7" width="13.83203125" style="202" customWidth="1"/>
    <col min="8" max="8" width="9.1640625" style="203" customWidth="1"/>
    <col min="9" max="9" width="13.83203125" style="204" customWidth="1"/>
    <col min="10" max="10" width="8.6640625" style="203" bestFit="1" customWidth="1"/>
    <col min="11" max="11" width="10.83203125" style="333" hidden="1" customWidth="1"/>
    <col min="12" max="12" width="14.83203125" style="333" hidden="1" customWidth="1"/>
    <col min="13" max="13" width="9.6640625" style="117" hidden="1" customWidth="1"/>
    <col min="14" max="16384" width="8.83203125" style="117"/>
  </cols>
  <sheetData>
    <row r="1" spans="1:12">
      <c r="A1" s="113" t="s">
        <v>185</v>
      </c>
      <c r="D1" s="116">
        <v>0.25</v>
      </c>
      <c r="I1" s="204">
        <v>0.25</v>
      </c>
    </row>
    <row r="2" spans="1:12">
      <c r="A2" s="113" t="s">
        <v>0</v>
      </c>
      <c r="B2" s="118" t="s">
        <v>324</v>
      </c>
      <c r="C2" s="119"/>
      <c r="D2" s="120"/>
      <c r="E2" s="119"/>
      <c r="F2" s="121"/>
      <c r="G2" s="205"/>
      <c r="H2" s="206"/>
      <c r="I2" s="207"/>
      <c r="J2" s="206"/>
    </row>
    <row r="3" spans="1:12">
      <c r="A3" s="344"/>
      <c r="B3" s="122" t="s">
        <v>70</v>
      </c>
      <c r="C3" s="123"/>
      <c r="D3" s="124" t="s">
        <v>186</v>
      </c>
      <c r="E3" s="123"/>
      <c r="F3" s="125" t="s">
        <v>296</v>
      </c>
      <c r="G3" s="208" t="s">
        <v>71</v>
      </c>
      <c r="H3" s="209"/>
      <c r="I3" s="210" t="s">
        <v>186</v>
      </c>
      <c r="J3" s="209"/>
    </row>
    <row r="4" spans="1:12">
      <c r="A4" s="345"/>
      <c r="B4" s="126" t="s">
        <v>60</v>
      </c>
      <c r="C4" s="127" t="s">
        <v>1</v>
      </c>
      <c r="D4" s="126" t="s">
        <v>60</v>
      </c>
      <c r="E4" s="127" t="s">
        <v>1</v>
      </c>
      <c r="F4" s="124"/>
      <c r="G4" s="211" t="s">
        <v>60</v>
      </c>
      <c r="H4" s="212" t="s">
        <v>1</v>
      </c>
      <c r="I4" s="211" t="s">
        <v>60</v>
      </c>
      <c r="J4" s="212" t="s">
        <v>1</v>
      </c>
    </row>
    <row r="5" spans="1:12" s="113" customFormat="1">
      <c r="A5" s="128" t="s">
        <v>2</v>
      </c>
      <c r="B5" s="129">
        <f>SUM(B6:B10)</f>
        <v>157660062.73115963</v>
      </c>
      <c r="C5" s="130">
        <f>SUM(C6:C10)</f>
        <v>10.305402651675241</v>
      </c>
      <c r="D5" s="131">
        <f>(B5/(1-$D$1))</f>
        <v>210213416.9748795</v>
      </c>
      <c r="E5" s="132">
        <f>SUM(E6:E10)</f>
        <v>10.305402648534841</v>
      </c>
      <c r="F5" s="133">
        <f>+D5</f>
        <v>210213416.9748795</v>
      </c>
      <c r="G5" s="217">
        <f>SUM(G6:G10)</f>
        <v>0</v>
      </c>
      <c r="H5" s="218">
        <f>SUM(H6:H10)</f>
        <v>0</v>
      </c>
      <c r="I5" s="217">
        <f>(G5/(1-$D$1))</f>
        <v>0</v>
      </c>
      <c r="J5" s="218">
        <f>SUM(J6:J10)</f>
        <v>0</v>
      </c>
      <c r="K5" s="334"/>
      <c r="L5" s="334"/>
    </row>
    <row r="6" spans="1:12">
      <c r="A6" s="134" t="s">
        <v>3</v>
      </c>
      <c r="B6" s="135">
        <f>+C6*$B$82/100</f>
        <v>45896332.649999999</v>
      </c>
      <c r="C6" s="136">
        <v>3</v>
      </c>
      <c r="D6" s="137">
        <f>(B6/(1-$D$1))</f>
        <v>61195110.199999996</v>
      </c>
      <c r="E6" s="138">
        <f>D6/D$80*100</f>
        <v>2.9999999990857997</v>
      </c>
      <c r="F6" s="133">
        <f t="shared" ref="F6:F69" si="0">+D6</f>
        <v>61195110.199999996</v>
      </c>
      <c r="G6" s="326"/>
      <c r="H6" s="216"/>
      <c r="I6" s="215"/>
      <c r="J6" s="216"/>
    </row>
    <row r="7" spans="1:12">
      <c r="A7" s="134" t="s">
        <v>169</v>
      </c>
      <c r="B7" s="135">
        <f>+C7*$B$82/100</f>
        <v>36717066.119999997</v>
      </c>
      <c r="C7" s="136">
        <v>2.4</v>
      </c>
      <c r="D7" s="137">
        <f t="shared" ref="D7:D70" si="1">(B7/(1-$D$1))</f>
        <v>48956088.159999996</v>
      </c>
      <c r="E7" s="138">
        <f t="shared" ref="E7:E49" si="2">D7/D$80*100</f>
        <v>2.3999999992686396</v>
      </c>
      <c r="F7" s="133">
        <f t="shared" si="0"/>
        <v>48956088.159999996</v>
      </c>
      <c r="G7" s="326"/>
      <c r="H7" s="216"/>
      <c r="I7" s="215"/>
      <c r="J7" s="216"/>
    </row>
    <row r="8" spans="1:12">
      <c r="A8" s="134" t="s">
        <v>170</v>
      </c>
      <c r="B8" s="135">
        <f>+C8*$B$82/100</f>
        <v>15298777.550000001</v>
      </c>
      <c r="C8" s="136">
        <v>1</v>
      </c>
      <c r="D8" s="137">
        <f t="shared" si="1"/>
        <v>20398370.066666666</v>
      </c>
      <c r="E8" s="138">
        <f t="shared" si="2"/>
        <v>0.99999999969526654</v>
      </c>
      <c r="F8" s="133">
        <f t="shared" si="0"/>
        <v>20398370.066666666</v>
      </c>
      <c r="G8" s="326"/>
      <c r="H8" s="216"/>
      <c r="I8" s="215"/>
      <c r="J8" s="216"/>
    </row>
    <row r="9" spans="1:12">
      <c r="A9" s="134" t="s">
        <v>171</v>
      </c>
      <c r="B9" s="135">
        <f>+C9*$B$82/100</f>
        <v>30597555.100000001</v>
      </c>
      <c r="C9" s="136">
        <v>2</v>
      </c>
      <c r="D9" s="137">
        <f t="shared" si="1"/>
        <v>40796740.133333333</v>
      </c>
      <c r="E9" s="138">
        <f t="shared" si="2"/>
        <v>1.9999999993905331</v>
      </c>
      <c r="F9" s="133">
        <f t="shared" si="0"/>
        <v>40796740.133333333</v>
      </c>
      <c r="G9" s="326"/>
      <c r="H9" s="216"/>
      <c r="I9" s="215"/>
      <c r="J9" s="216"/>
    </row>
    <row r="10" spans="1:12">
      <c r="A10" s="134" t="s">
        <v>172</v>
      </c>
      <c r="B10" s="135">
        <f>+C10*$B$82/100</f>
        <v>29150331.311159629</v>
      </c>
      <c r="C10" s="136">
        <v>1.90540265167524</v>
      </c>
      <c r="D10" s="137">
        <f t="shared" si="1"/>
        <v>38867108.414879508</v>
      </c>
      <c r="E10" s="138">
        <f t="shared" si="2"/>
        <v>1.9054026510946003</v>
      </c>
      <c r="F10" s="133">
        <f t="shared" si="0"/>
        <v>38867108.414879508</v>
      </c>
      <c r="G10" s="326"/>
      <c r="H10" s="216"/>
      <c r="I10" s="215"/>
      <c r="J10" s="216"/>
    </row>
    <row r="11" spans="1:12" s="113" customFormat="1" ht="24">
      <c r="A11" s="128" t="s">
        <v>4</v>
      </c>
      <c r="B11" s="129">
        <f>SUM(B12:B14)</f>
        <v>113221366.76682864</v>
      </c>
      <c r="C11" s="130">
        <f>SUM(C12:C14)</f>
        <v>7.4006806358739841</v>
      </c>
      <c r="D11" s="131">
        <f t="shared" si="1"/>
        <v>150961822.35577151</v>
      </c>
      <c r="E11" s="132">
        <f>SUM(E12:E14)</f>
        <v>7.4006806336187498</v>
      </c>
      <c r="F11" s="133">
        <f t="shared" si="0"/>
        <v>150961822.35577151</v>
      </c>
      <c r="G11" s="217">
        <f>SUM(G12:G14)</f>
        <v>0</v>
      </c>
      <c r="H11" s="218">
        <f>SUM(H12:H14)</f>
        <v>0</v>
      </c>
      <c r="I11" s="217">
        <f>(G11/(1-$D$1))</f>
        <v>0</v>
      </c>
      <c r="J11" s="218">
        <f>SUM(J12:J14)</f>
        <v>0</v>
      </c>
      <c r="K11" s="334"/>
      <c r="L11" s="334"/>
    </row>
    <row r="12" spans="1:12" s="113" customFormat="1" ht="24">
      <c r="A12" s="134" t="s">
        <v>5</v>
      </c>
      <c r="B12" s="135">
        <f>+C12*$B$82/100</f>
        <v>90273200.441828638</v>
      </c>
      <c r="C12" s="136">
        <v>5.9006806358739841</v>
      </c>
      <c r="D12" s="137">
        <f t="shared" si="1"/>
        <v>120364267.25577152</v>
      </c>
      <c r="E12" s="138">
        <f t="shared" si="2"/>
        <v>5.90068063407585</v>
      </c>
      <c r="F12" s="133">
        <f t="shared" si="0"/>
        <v>120364267.25577152</v>
      </c>
      <c r="G12" s="326"/>
      <c r="H12" s="216"/>
      <c r="I12" s="215"/>
      <c r="J12" s="216"/>
      <c r="K12" s="334"/>
      <c r="L12" s="334"/>
    </row>
    <row r="13" spans="1:12">
      <c r="A13" s="134" t="s">
        <v>161</v>
      </c>
      <c r="B13" s="135">
        <f>+C13*$B$82/100</f>
        <v>15298777.550000001</v>
      </c>
      <c r="C13" s="136">
        <v>1</v>
      </c>
      <c r="D13" s="137">
        <f t="shared" si="1"/>
        <v>20398370.066666666</v>
      </c>
      <c r="E13" s="138">
        <f t="shared" si="2"/>
        <v>0.99999999969526654</v>
      </c>
      <c r="F13" s="133">
        <f t="shared" si="0"/>
        <v>20398370.066666666</v>
      </c>
      <c r="G13" s="326"/>
      <c r="H13" s="216"/>
      <c r="I13" s="215"/>
      <c r="J13" s="216"/>
    </row>
    <row r="14" spans="1:12" ht="24">
      <c r="A14" s="134" t="s">
        <v>6</v>
      </c>
      <c r="B14" s="135">
        <f>+C14*$B$82/100</f>
        <v>7649388.7750000004</v>
      </c>
      <c r="C14" s="136">
        <v>0.5</v>
      </c>
      <c r="D14" s="137">
        <f t="shared" si="1"/>
        <v>10199185.033333333</v>
      </c>
      <c r="E14" s="138">
        <f t="shared" si="2"/>
        <v>0.49999999984763327</v>
      </c>
      <c r="F14" s="133">
        <f t="shared" si="0"/>
        <v>10199185.033333333</v>
      </c>
      <c r="G14" s="326"/>
      <c r="H14" s="216"/>
      <c r="I14" s="215"/>
      <c r="J14" s="216"/>
    </row>
    <row r="15" spans="1:12" s="113" customFormat="1" ht="24">
      <c r="A15" s="128" t="s">
        <v>158</v>
      </c>
      <c r="B15" s="129">
        <f>SUM(B16:B23)</f>
        <v>153454728.23323652</v>
      </c>
      <c r="C15" s="130">
        <f>SUM(C16:C23)</f>
        <v>10.030522225171939</v>
      </c>
      <c r="D15" s="131">
        <f t="shared" si="1"/>
        <v>204606304.31098202</v>
      </c>
      <c r="E15" s="132">
        <f>SUM(E16:E23)</f>
        <v>10.030522222115303</v>
      </c>
      <c r="F15" s="133">
        <f t="shared" si="0"/>
        <v>204606304.31098202</v>
      </c>
      <c r="G15" s="217">
        <f>SUM(G16:G23)</f>
        <v>0</v>
      </c>
      <c r="H15" s="218">
        <f>SUM(H16:H23)</f>
        <v>0</v>
      </c>
      <c r="I15" s="217">
        <f>(G15/(1-$D$1))</f>
        <v>0</v>
      </c>
      <c r="J15" s="218">
        <f>SUM(J16:J23)</f>
        <v>0</v>
      </c>
      <c r="K15" s="334"/>
      <c r="L15" s="334"/>
    </row>
    <row r="16" spans="1:12">
      <c r="A16" s="134" t="s">
        <v>7</v>
      </c>
      <c r="B16" s="135">
        <f t="shared" ref="B16:B23" si="3">+C16*$B$82/100</f>
        <v>29067677.344999999</v>
      </c>
      <c r="C16" s="136">
        <f>2.15-0.25</f>
        <v>1.9</v>
      </c>
      <c r="D16" s="137">
        <f t="shared" si="1"/>
        <v>38756903.126666665</v>
      </c>
      <c r="E16" s="138">
        <f>D16/D$80*100</f>
        <v>1.8999999994210066</v>
      </c>
      <c r="F16" s="133">
        <f t="shared" si="0"/>
        <v>38756903.126666665</v>
      </c>
      <c r="G16" s="326"/>
      <c r="H16" s="216"/>
      <c r="I16" s="215"/>
      <c r="J16" s="216"/>
    </row>
    <row r="17" spans="1:13">
      <c r="A17" s="134" t="s">
        <v>8</v>
      </c>
      <c r="B17" s="135">
        <f t="shared" si="3"/>
        <v>0</v>
      </c>
      <c r="C17" s="139">
        <v>0</v>
      </c>
      <c r="D17" s="137">
        <f t="shared" si="1"/>
        <v>0</v>
      </c>
      <c r="E17" s="138">
        <f t="shared" si="2"/>
        <v>0</v>
      </c>
      <c r="F17" s="133">
        <f t="shared" si="0"/>
        <v>0</v>
      </c>
      <c r="G17" s="326"/>
      <c r="H17" s="219"/>
      <c r="I17" s="215"/>
      <c r="J17" s="216"/>
    </row>
    <row r="18" spans="1:13">
      <c r="A18" s="134" t="s">
        <v>9</v>
      </c>
      <c r="B18" s="135">
        <f t="shared" si="3"/>
        <v>38246943.875</v>
      </c>
      <c r="C18" s="136">
        <v>2.5</v>
      </c>
      <c r="D18" s="137">
        <f t="shared" si="1"/>
        <v>50995925.166666664</v>
      </c>
      <c r="E18" s="138">
        <f t="shared" si="2"/>
        <v>2.4999999992381663</v>
      </c>
      <c r="F18" s="133">
        <f t="shared" si="0"/>
        <v>50995925.166666664</v>
      </c>
      <c r="G18" s="326"/>
      <c r="H18" s="216"/>
      <c r="I18" s="215"/>
      <c r="J18" s="216"/>
      <c r="L18" s="335"/>
    </row>
    <row r="19" spans="1:13">
      <c r="A19" s="134" t="s">
        <v>10</v>
      </c>
      <c r="B19" s="135">
        <f t="shared" si="3"/>
        <v>9179266.5299999993</v>
      </c>
      <c r="C19" s="136">
        <v>0.6</v>
      </c>
      <c r="D19" s="137">
        <f t="shared" si="1"/>
        <v>12239022.039999999</v>
      </c>
      <c r="E19" s="138">
        <f t="shared" si="2"/>
        <v>0.5999999998171599</v>
      </c>
      <c r="F19" s="133">
        <f t="shared" si="0"/>
        <v>12239022.039999999</v>
      </c>
      <c r="G19" s="326"/>
      <c r="H19" s="216"/>
      <c r="I19" s="215"/>
      <c r="J19" s="216"/>
      <c r="L19" s="335"/>
    </row>
    <row r="20" spans="1:13">
      <c r="A20" s="134" t="s">
        <v>11</v>
      </c>
      <c r="B20" s="135">
        <f t="shared" si="3"/>
        <v>25115110.110099431</v>
      </c>
      <c r="C20" s="136">
        <v>1.6416416297326599</v>
      </c>
      <c r="D20" s="137">
        <f t="shared" si="1"/>
        <v>33486813.480132576</v>
      </c>
      <c r="E20" s="138">
        <f t="shared" si="2"/>
        <v>1.641641629232397</v>
      </c>
      <c r="F20" s="133">
        <f t="shared" si="0"/>
        <v>33486813.480132576</v>
      </c>
      <c r="G20" s="326"/>
      <c r="H20" s="216"/>
      <c r="I20" s="215"/>
      <c r="J20" s="216"/>
      <c r="M20" s="141"/>
    </row>
    <row r="21" spans="1:13">
      <c r="A21" s="134" t="s">
        <v>12</v>
      </c>
      <c r="B21" s="135">
        <f t="shared" si="3"/>
        <v>29723698.035837088</v>
      </c>
      <c r="C21" s="136">
        <f>2.19288059543928-0.25</f>
        <v>1.9428805954392798</v>
      </c>
      <c r="D21" s="137">
        <f t="shared" si="1"/>
        <v>39631597.381116115</v>
      </c>
      <c r="E21" s="138">
        <f t="shared" si="2"/>
        <v>1.9428805948472194</v>
      </c>
      <c r="F21" s="133">
        <f t="shared" si="0"/>
        <v>39631597.381116115</v>
      </c>
      <c r="G21" s="326"/>
      <c r="H21" s="216"/>
      <c r="I21" s="215"/>
      <c r="J21" s="216"/>
      <c r="L21" s="336"/>
    </row>
    <row r="22" spans="1:13">
      <c r="A22" s="134" t="s">
        <v>13</v>
      </c>
      <c r="B22" s="135">
        <f t="shared" si="3"/>
        <v>22122032.337299999</v>
      </c>
      <c r="C22" s="136">
        <v>1.446</v>
      </c>
      <c r="D22" s="137">
        <f t="shared" si="1"/>
        <v>29496043.1164</v>
      </c>
      <c r="E22" s="138">
        <f t="shared" si="2"/>
        <v>1.4459999995593555</v>
      </c>
      <c r="F22" s="133">
        <f t="shared" si="0"/>
        <v>29496043.1164</v>
      </c>
      <c r="G22" s="326"/>
      <c r="H22" s="216"/>
      <c r="I22" s="215"/>
      <c r="J22" s="216"/>
      <c r="L22" s="336"/>
    </row>
    <row r="23" spans="1:13">
      <c r="A23" s="134" t="s">
        <v>14</v>
      </c>
      <c r="B23" s="135">
        <f t="shared" si="3"/>
        <v>0</v>
      </c>
      <c r="C23" s="142"/>
      <c r="D23" s="143">
        <f t="shared" si="1"/>
        <v>0</v>
      </c>
      <c r="E23" s="138">
        <f t="shared" si="2"/>
        <v>0</v>
      </c>
      <c r="F23" s="133">
        <f t="shared" si="0"/>
        <v>0</v>
      </c>
      <c r="G23" s="326"/>
      <c r="H23" s="224"/>
      <c r="I23" s="327"/>
      <c r="J23" s="216"/>
    </row>
    <row r="24" spans="1:13" s="113" customFormat="1" ht="24">
      <c r="A24" s="128" t="s">
        <v>15</v>
      </c>
      <c r="B24" s="129">
        <f>SUM(B25:B30)</f>
        <v>351694524.11367857</v>
      </c>
      <c r="C24" s="130">
        <f>SUM(C25:C30)</f>
        <v>22.988406947173281</v>
      </c>
      <c r="D24" s="131">
        <f t="shared" si="1"/>
        <v>468926032.15157145</v>
      </c>
      <c r="E24" s="132">
        <f>SUM(E25:E30)</f>
        <v>22.988406940167941</v>
      </c>
      <c r="F24" s="133">
        <f t="shared" si="0"/>
        <v>468926032.15157145</v>
      </c>
      <c r="G24" s="217">
        <f>SUM(G25:G30)</f>
        <v>0</v>
      </c>
      <c r="H24" s="218">
        <f>SUM(H25:H30)</f>
        <v>0</v>
      </c>
      <c r="I24" s="217">
        <f>(G24/(1-$D$1))</f>
        <v>0</v>
      </c>
      <c r="J24" s="218">
        <f>SUM(J25:J30)</f>
        <v>0</v>
      </c>
      <c r="K24" s="334"/>
      <c r="L24" s="334"/>
    </row>
    <row r="25" spans="1:13" ht="24">
      <c r="A25" s="134" t="s">
        <v>16</v>
      </c>
      <c r="B25" s="135">
        <f t="shared" ref="B25:B30" si="4">+C25*$B$82/100</f>
        <v>127337951.0140049</v>
      </c>
      <c r="C25" s="136">
        <f>6.92340692567328+0.2+1+0.4+0.3-0.5</f>
        <v>8.3234069256732806</v>
      </c>
      <c r="D25" s="137">
        <f t="shared" si="1"/>
        <v>169783934.68533987</v>
      </c>
      <c r="E25" s="138">
        <f t="shared" si="2"/>
        <v>8.3234069231368597</v>
      </c>
      <c r="F25" s="133">
        <f t="shared" si="0"/>
        <v>169783934.68533987</v>
      </c>
      <c r="G25" s="326"/>
      <c r="H25" s="216"/>
      <c r="I25" s="215"/>
      <c r="J25" s="216"/>
    </row>
    <row r="26" spans="1:13">
      <c r="A26" s="134" t="s">
        <v>17</v>
      </c>
      <c r="B26" s="135">
        <f t="shared" si="4"/>
        <v>0</v>
      </c>
      <c r="C26" s="136"/>
      <c r="D26" s="137">
        <f t="shared" si="1"/>
        <v>0</v>
      </c>
      <c r="E26" s="138">
        <f t="shared" si="2"/>
        <v>0</v>
      </c>
      <c r="F26" s="133">
        <f t="shared" si="0"/>
        <v>0</v>
      </c>
      <c r="G26" s="326"/>
      <c r="H26" s="216"/>
      <c r="I26" s="215"/>
      <c r="J26" s="216"/>
    </row>
    <row r="27" spans="1:13" ht="24">
      <c r="A27" s="134" t="s">
        <v>18</v>
      </c>
      <c r="B27" s="135">
        <f t="shared" si="4"/>
        <v>0</v>
      </c>
      <c r="C27" s="136"/>
      <c r="D27" s="137">
        <f t="shared" si="1"/>
        <v>0</v>
      </c>
      <c r="E27" s="138">
        <f t="shared" si="2"/>
        <v>0</v>
      </c>
      <c r="F27" s="133">
        <f t="shared" si="0"/>
        <v>0</v>
      </c>
      <c r="G27" s="326"/>
      <c r="H27" s="216"/>
      <c r="I27" s="215"/>
      <c r="J27" s="216"/>
    </row>
    <row r="28" spans="1:13">
      <c r="A28" s="134" t="s">
        <v>19</v>
      </c>
      <c r="B28" s="135">
        <f t="shared" si="4"/>
        <v>0</v>
      </c>
      <c r="C28" s="139">
        <v>0</v>
      </c>
      <c r="D28" s="145">
        <f t="shared" si="1"/>
        <v>0</v>
      </c>
      <c r="E28" s="138">
        <f t="shared" si="2"/>
        <v>0</v>
      </c>
      <c r="F28" s="133">
        <f t="shared" si="0"/>
        <v>0</v>
      </c>
      <c r="G28" s="326"/>
      <c r="H28" s="219"/>
      <c r="I28" s="328"/>
      <c r="J28" s="216"/>
    </row>
    <row r="29" spans="1:13">
      <c r="A29" s="134" t="s">
        <v>20</v>
      </c>
      <c r="B29" s="135">
        <f t="shared" si="4"/>
        <v>0</v>
      </c>
      <c r="C29" s="139">
        <v>0</v>
      </c>
      <c r="D29" s="145">
        <f t="shared" si="1"/>
        <v>0</v>
      </c>
      <c r="E29" s="138">
        <f t="shared" si="2"/>
        <v>0</v>
      </c>
      <c r="F29" s="133">
        <f t="shared" si="0"/>
        <v>0</v>
      </c>
      <c r="G29" s="326"/>
      <c r="H29" s="219"/>
      <c r="I29" s="328"/>
      <c r="J29" s="216"/>
    </row>
    <row r="30" spans="1:13">
      <c r="A30" s="134" t="s">
        <v>21</v>
      </c>
      <c r="B30" s="135">
        <f t="shared" si="4"/>
        <v>224356573.09967369</v>
      </c>
      <c r="C30" s="136">
        <f>12.6650000215+2</f>
        <v>14.665000021499999</v>
      </c>
      <c r="D30" s="137">
        <f t="shared" si="1"/>
        <v>299142097.46623158</v>
      </c>
      <c r="E30" s="138">
        <f t="shared" si="2"/>
        <v>14.665000017031083</v>
      </c>
      <c r="F30" s="133">
        <f t="shared" si="0"/>
        <v>299142097.46623158</v>
      </c>
      <c r="G30" s="326"/>
      <c r="H30" s="216"/>
      <c r="I30" s="215"/>
      <c r="J30" s="216"/>
    </row>
    <row r="31" spans="1:13" ht="24">
      <c r="A31" s="128" t="s">
        <v>22</v>
      </c>
      <c r="B31" s="129">
        <f>SUM(B32:B34)</f>
        <v>70409581.075260013</v>
      </c>
      <c r="C31" s="130">
        <f>SUM(C32:C34)</f>
        <v>4.60230112145529</v>
      </c>
      <c r="D31" s="131">
        <f t="shared" si="1"/>
        <v>93879441.433680013</v>
      </c>
      <c r="E31" s="132">
        <f>SUM(E32:E34)</f>
        <v>4.6023011200528154</v>
      </c>
      <c r="F31" s="133">
        <f t="shared" si="0"/>
        <v>93879441.433680013</v>
      </c>
      <c r="G31" s="217">
        <f>SUM(G32:G34)</f>
        <v>0</v>
      </c>
      <c r="H31" s="218">
        <f>SUM(H32:H34)</f>
        <v>0</v>
      </c>
      <c r="I31" s="217">
        <f>(G31/(1-$D$1))</f>
        <v>0</v>
      </c>
      <c r="J31" s="218">
        <f>SUM(J32:J34)</f>
        <v>0</v>
      </c>
    </row>
    <row r="32" spans="1:13">
      <c r="A32" s="134" t="s">
        <v>23</v>
      </c>
      <c r="B32" s="135">
        <f>+C32*$B$82/100</f>
        <v>67961776.667260006</v>
      </c>
      <c r="C32" s="136">
        <v>4.4423011214552899</v>
      </c>
      <c r="D32" s="137">
        <f t="shared" si="1"/>
        <v>90615702.223013341</v>
      </c>
      <c r="E32" s="138">
        <f t="shared" si="2"/>
        <v>4.4423011201015727</v>
      </c>
      <c r="F32" s="133">
        <f t="shared" si="0"/>
        <v>90615702.223013341</v>
      </c>
      <c r="G32" s="326"/>
      <c r="H32" s="216"/>
      <c r="I32" s="215"/>
      <c r="J32" s="216"/>
    </row>
    <row r="33" spans="1:12" s="113" customFormat="1">
      <c r="A33" s="134" t="s">
        <v>24</v>
      </c>
      <c r="B33" s="135">
        <f>+C33*$B$82/100</f>
        <v>0</v>
      </c>
      <c r="C33" s="142"/>
      <c r="D33" s="143">
        <f t="shared" si="1"/>
        <v>0</v>
      </c>
      <c r="E33" s="138">
        <f t="shared" si="2"/>
        <v>0</v>
      </c>
      <c r="F33" s="133">
        <f t="shared" si="0"/>
        <v>0</v>
      </c>
      <c r="G33" s="326"/>
      <c r="H33" s="224"/>
      <c r="I33" s="327"/>
      <c r="J33" s="216"/>
      <c r="K33" s="334"/>
      <c r="L33" s="334"/>
    </row>
    <row r="34" spans="1:12">
      <c r="A34" s="134" t="s">
        <v>25</v>
      </c>
      <c r="B34" s="135">
        <f>+C34*$B$82/100</f>
        <v>2447804.4080000003</v>
      </c>
      <c r="C34" s="136">
        <v>0.16</v>
      </c>
      <c r="D34" s="137">
        <f t="shared" si="1"/>
        <v>3263739.2106666672</v>
      </c>
      <c r="E34" s="138">
        <f t="shared" si="2"/>
        <v>0.15999999995124267</v>
      </c>
      <c r="F34" s="133">
        <f t="shared" si="0"/>
        <v>3263739.2106666672</v>
      </c>
      <c r="G34" s="326"/>
      <c r="H34" s="216"/>
      <c r="I34" s="215"/>
      <c r="J34" s="216"/>
    </row>
    <row r="35" spans="1:12">
      <c r="A35" s="128" t="s">
        <v>26</v>
      </c>
      <c r="B35" s="129">
        <f>SUM(B36:B43)</f>
        <v>243368422.84798074</v>
      </c>
      <c r="C35" s="130">
        <f>SUM(C36:C43)</f>
        <v>15.907703870625969</v>
      </c>
      <c r="D35" s="131">
        <f t="shared" si="1"/>
        <v>324491230.4639743</v>
      </c>
      <c r="E35" s="132">
        <f>SUM(E36:E43)</f>
        <v>15.907703865778359</v>
      </c>
      <c r="F35" s="133">
        <f t="shared" si="0"/>
        <v>324491230.4639743</v>
      </c>
      <c r="G35" s="217">
        <f>SUM(G36:G43)</f>
        <v>0</v>
      </c>
      <c r="H35" s="218">
        <f>SUM(H36:H43)</f>
        <v>0</v>
      </c>
      <c r="I35" s="217">
        <f>(G35/(1-$D$1))</f>
        <v>0</v>
      </c>
      <c r="J35" s="218">
        <f>SUM(J36:J43)</f>
        <v>0</v>
      </c>
    </row>
    <row r="36" spans="1:12">
      <c r="A36" s="134" t="s">
        <v>27</v>
      </c>
      <c r="B36" s="135">
        <f t="shared" ref="B36:B43" si="5">+C36*$B$82/100</f>
        <v>85791014.082980692</v>
      </c>
      <c r="C36" s="136">
        <v>5.6077038706259703</v>
      </c>
      <c r="D36" s="137">
        <f t="shared" si="1"/>
        <v>114388018.77730758</v>
      </c>
      <c r="E36" s="138">
        <f t="shared" si="2"/>
        <v>5.607703868917115</v>
      </c>
      <c r="F36" s="133">
        <f t="shared" si="0"/>
        <v>114388018.77730758</v>
      </c>
      <c r="G36" s="326"/>
      <c r="H36" s="216"/>
      <c r="I36" s="215"/>
      <c r="J36" s="216"/>
    </row>
    <row r="37" spans="1:12" s="113" customFormat="1">
      <c r="A37" s="134" t="s">
        <v>28</v>
      </c>
      <c r="B37" s="135">
        <f t="shared" si="5"/>
        <v>0</v>
      </c>
      <c r="C37" s="136">
        <v>0</v>
      </c>
      <c r="D37" s="137">
        <f t="shared" si="1"/>
        <v>0</v>
      </c>
      <c r="E37" s="138">
        <f t="shared" si="2"/>
        <v>0</v>
      </c>
      <c r="F37" s="133">
        <f t="shared" si="0"/>
        <v>0</v>
      </c>
      <c r="G37" s="326"/>
      <c r="H37" s="216"/>
      <c r="I37" s="215"/>
      <c r="J37" s="216"/>
      <c r="K37" s="334"/>
      <c r="L37" s="334"/>
    </row>
    <row r="38" spans="1:12">
      <c r="A38" s="134" t="s">
        <v>29</v>
      </c>
      <c r="B38" s="135">
        <f t="shared" si="5"/>
        <v>71445291.158500001</v>
      </c>
      <c r="C38" s="136">
        <f>4.8-0.13</f>
        <v>4.67</v>
      </c>
      <c r="D38" s="137">
        <f t="shared" si="1"/>
        <v>95260388.211333334</v>
      </c>
      <c r="E38" s="138">
        <f t="shared" si="2"/>
        <v>4.6699999985768947</v>
      </c>
      <c r="F38" s="133">
        <f t="shared" si="0"/>
        <v>95260388.211333334</v>
      </c>
      <c r="G38" s="326"/>
      <c r="H38" s="216"/>
      <c r="I38" s="215"/>
      <c r="J38" s="216"/>
    </row>
    <row r="39" spans="1:12">
      <c r="A39" s="134" t="s">
        <v>30</v>
      </c>
      <c r="B39" s="135">
        <f t="shared" si="5"/>
        <v>6578474.3465</v>
      </c>
      <c r="C39" s="136">
        <f>0.3+0.13</f>
        <v>0.43</v>
      </c>
      <c r="D39" s="137">
        <f t="shared" si="1"/>
        <v>8771299.1286666673</v>
      </c>
      <c r="E39" s="138">
        <f t="shared" si="2"/>
        <v>0.4299999998689647</v>
      </c>
      <c r="F39" s="133">
        <f t="shared" si="0"/>
        <v>8771299.1286666673</v>
      </c>
      <c r="G39" s="326"/>
      <c r="H39" s="216"/>
      <c r="I39" s="215"/>
      <c r="J39" s="216"/>
    </row>
    <row r="40" spans="1:12" ht="24">
      <c r="A40" s="134" t="s">
        <v>31</v>
      </c>
      <c r="B40" s="135">
        <f t="shared" si="5"/>
        <v>7649388.7750000004</v>
      </c>
      <c r="C40" s="136">
        <v>0.5</v>
      </c>
      <c r="D40" s="137">
        <f t="shared" si="1"/>
        <v>10199185.033333333</v>
      </c>
      <c r="E40" s="138">
        <f t="shared" si="2"/>
        <v>0.49999999984763327</v>
      </c>
      <c r="F40" s="133">
        <f t="shared" si="0"/>
        <v>10199185.033333333</v>
      </c>
      <c r="G40" s="326"/>
      <c r="H40" s="216"/>
      <c r="I40" s="215"/>
      <c r="J40" s="216"/>
    </row>
    <row r="41" spans="1:12">
      <c r="A41" s="134" t="s">
        <v>32</v>
      </c>
      <c r="B41" s="135">
        <f t="shared" si="5"/>
        <v>15298777.550000001</v>
      </c>
      <c r="C41" s="136">
        <v>1</v>
      </c>
      <c r="D41" s="137">
        <f t="shared" si="1"/>
        <v>20398370.066666666</v>
      </c>
      <c r="E41" s="138">
        <f t="shared" si="2"/>
        <v>0.99999999969526654</v>
      </c>
      <c r="F41" s="133">
        <f t="shared" si="0"/>
        <v>20398370.066666666</v>
      </c>
      <c r="G41" s="326"/>
      <c r="H41" s="216"/>
      <c r="I41" s="215"/>
      <c r="J41" s="216"/>
    </row>
    <row r="42" spans="1:12" ht="24">
      <c r="A42" s="134" t="s">
        <v>33</v>
      </c>
      <c r="B42" s="135">
        <f t="shared" si="5"/>
        <v>41306699.385000005</v>
      </c>
      <c r="C42" s="136">
        <v>2.7</v>
      </c>
      <c r="D42" s="137">
        <f t="shared" si="1"/>
        <v>55075599.180000007</v>
      </c>
      <c r="E42" s="138">
        <f t="shared" si="2"/>
        <v>2.6999999991772201</v>
      </c>
      <c r="F42" s="133">
        <f t="shared" si="0"/>
        <v>55075599.180000007</v>
      </c>
      <c r="G42" s="326"/>
      <c r="H42" s="216"/>
      <c r="I42" s="215"/>
      <c r="J42" s="216"/>
    </row>
    <row r="43" spans="1:12">
      <c r="A43" s="134" t="s">
        <v>34</v>
      </c>
      <c r="B43" s="135">
        <f t="shared" si="5"/>
        <v>15298777.550000001</v>
      </c>
      <c r="C43" s="136">
        <f>0.5+0.5</f>
        <v>1</v>
      </c>
      <c r="D43" s="137">
        <f t="shared" si="1"/>
        <v>20398370.066666666</v>
      </c>
      <c r="E43" s="138">
        <f t="shared" si="2"/>
        <v>0.99999999969526654</v>
      </c>
      <c r="F43" s="133">
        <f t="shared" si="0"/>
        <v>20398370.066666666</v>
      </c>
      <c r="G43" s="326"/>
      <c r="H43" s="216"/>
      <c r="I43" s="215"/>
      <c r="J43" s="216"/>
    </row>
    <row r="44" spans="1:12" ht="24">
      <c r="A44" s="128" t="s">
        <v>35</v>
      </c>
      <c r="B44" s="129">
        <f>SUM(B45:B48)</f>
        <v>167640241.00122437</v>
      </c>
      <c r="C44" s="130">
        <f>SUM(C45:C48)</f>
        <v>10.957754007033351</v>
      </c>
      <c r="D44" s="131">
        <f t="shared" si="1"/>
        <v>223520321.33496583</v>
      </c>
      <c r="E44" s="132">
        <f>SUM(E45:E48)</f>
        <v>10.957754003694156</v>
      </c>
      <c r="F44" s="133">
        <f t="shared" si="0"/>
        <v>223520321.33496583</v>
      </c>
      <c r="G44" s="217">
        <f>SUM(G45:G48)</f>
        <v>0</v>
      </c>
      <c r="H44" s="218">
        <f>SUM(H45:H48)</f>
        <v>0</v>
      </c>
      <c r="I44" s="217">
        <f>(G44/(1-$D$1))</f>
        <v>0</v>
      </c>
      <c r="J44" s="218">
        <f>SUM(J45:J48)</f>
        <v>0</v>
      </c>
    </row>
    <row r="45" spans="1:12" ht="24">
      <c r="A45" s="134" t="s">
        <v>168</v>
      </c>
      <c r="B45" s="135">
        <f>+C45*$B$82/100</f>
        <v>0</v>
      </c>
      <c r="C45" s="136"/>
      <c r="D45" s="135">
        <f t="shared" si="1"/>
        <v>0</v>
      </c>
      <c r="E45" s="138">
        <f t="shared" si="2"/>
        <v>0</v>
      </c>
      <c r="F45" s="133">
        <f t="shared" si="0"/>
        <v>0</v>
      </c>
      <c r="G45" s="326"/>
      <c r="H45" s="216"/>
      <c r="I45" s="326"/>
      <c r="J45" s="216"/>
    </row>
    <row r="46" spans="1:12" s="113" customFormat="1">
      <c r="A46" s="134" t="s">
        <v>165</v>
      </c>
      <c r="B46" s="146">
        <f>+C46*$B$82/100</f>
        <v>16828655.305000003</v>
      </c>
      <c r="C46" s="139">
        <f>2.35-1.25</f>
        <v>1.1000000000000001</v>
      </c>
      <c r="D46" s="146">
        <f t="shared" si="1"/>
        <v>22438207.073333338</v>
      </c>
      <c r="E46" s="138">
        <f t="shared" si="2"/>
        <v>1.0999999996647933</v>
      </c>
      <c r="F46" s="133">
        <f t="shared" si="0"/>
        <v>22438207.073333338</v>
      </c>
      <c r="G46" s="329"/>
      <c r="H46" s="219"/>
      <c r="I46" s="329"/>
      <c r="J46" s="216"/>
      <c r="K46" s="334"/>
      <c r="L46" s="334"/>
    </row>
    <row r="47" spans="1:12">
      <c r="A47" s="134" t="s">
        <v>166</v>
      </c>
      <c r="B47" s="146">
        <f>+C47*$B$82/100</f>
        <v>107975008.55622436</v>
      </c>
      <c r="C47" s="139">
        <f>6.35775400703335-2.5+0.5+0.7+0.5+0.5+0.25+0.25+0.5</f>
        <v>7.05775400703335</v>
      </c>
      <c r="D47" s="146">
        <f t="shared" si="1"/>
        <v>143966678.0749658</v>
      </c>
      <c r="E47" s="138">
        <f t="shared" si="2"/>
        <v>7.0577540048826162</v>
      </c>
      <c r="F47" s="133">
        <f t="shared" si="0"/>
        <v>143966678.0749658</v>
      </c>
      <c r="G47" s="329"/>
      <c r="H47" s="219"/>
      <c r="I47" s="329"/>
      <c r="J47" s="216"/>
    </row>
    <row r="48" spans="1:12">
      <c r="A48" s="134" t="s">
        <v>167</v>
      </c>
      <c r="B48" s="146">
        <f>+C48*$B$82/100</f>
        <v>42836577.139999993</v>
      </c>
      <c r="C48" s="139">
        <v>2.8</v>
      </c>
      <c r="D48" s="146">
        <f t="shared" si="1"/>
        <v>57115436.18666666</v>
      </c>
      <c r="E48" s="138">
        <f t="shared" si="2"/>
        <v>2.7999999991467464</v>
      </c>
      <c r="F48" s="133">
        <f t="shared" si="0"/>
        <v>57115436.18666666</v>
      </c>
      <c r="G48" s="329"/>
      <c r="H48" s="219"/>
      <c r="I48" s="329"/>
      <c r="J48" s="216"/>
    </row>
    <row r="49" spans="1:13">
      <c r="A49" s="134" t="s">
        <v>36</v>
      </c>
      <c r="B49" s="146"/>
      <c r="C49" s="139"/>
      <c r="D49" s="137">
        <f t="shared" si="1"/>
        <v>0</v>
      </c>
      <c r="E49" s="138">
        <f t="shared" si="2"/>
        <v>0</v>
      </c>
      <c r="F49" s="133">
        <f t="shared" si="0"/>
        <v>0</v>
      </c>
      <c r="G49" s="329"/>
      <c r="H49" s="219"/>
      <c r="I49" s="215"/>
      <c r="J49" s="216"/>
    </row>
    <row r="50" spans="1:13" ht="24">
      <c r="A50" s="128" t="s">
        <v>37</v>
      </c>
      <c r="B50" s="129">
        <f>SUM(B51:B57)</f>
        <v>0</v>
      </c>
      <c r="C50" s="130">
        <f>SUM(C51:C57)</f>
        <v>0</v>
      </c>
      <c r="D50" s="131">
        <f t="shared" si="1"/>
        <v>0</v>
      </c>
      <c r="E50" s="132">
        <f>SUM(E51:E57)</f>
        <v>0</v>
      </c>
      <c r="F50" s="133">
        <f t="shared" si="0"/>
        <v>0</v>
      </c>
      <c r="G50" s="217">
        <f>SUM(G51:G57)</f>
        <v>126562500</v>
      </c>
      <c r="H50" s="218">
        <f>SUM(H51:H57)</f>
        <v>49.761170757195785</v>
      </c>
      <c r="I50" s="217">
        <f>(G50/(1-$D$1))</f>
        <v>168750000</v>
      </c>
      <c r="J50" s="218">
        <f>SUM(J51:J57)</f>
        <v>49.761170757195785</v>
      </c>
      <c r="L50" s="337">
        <v>168750000</v>
      </c>
    </row>
    <row r="51" spans="1:13" ht="16" customHeight="1">
      <c r="A51" s="134" t="s">
        <v>162</v>
      </c>
      <c r="B51" s="135"/>
      <c r="C51" s="136"/>
      <c r="D51" s="137">
        <f t="shared" si="1"/>
        <v>0</v>
      </c>
      <c r="E51" s="138"/>
      <c r="F51" s="133">
        <f t="shared" si="0"/>
        <v>0</v>
      </c>
      <c r="G51" s="213">
        <v>33750000</v>
      </c>
      <c r="H51" s="214">
        <f t="shared" ref="H51:J57" si="6">+G51/G$82%</f>
        <v>13.269645535252208</v>
      </c>
      <c r="I51" s="213">
        <f t="shared" ref="I51:I80" si="7">(G51/(1-$D$1))</f>
        <v>45000000</v>
      </c>
      <c r="J51" s="214">
        <f>+I51/I$82%</f>
        <v>13.269645535252208</v>
      </c>
      <c r="K51" s="333" t="s">
        <v>416</v>
      </c>
      <c r="L51" s="338">
        <v>45000000</v>
      </c>
    </row>
    <row r="52" spans="1:13" ht="16" customHeight="1">
      <c r="A52" s="134" t="s">
        <v>163</v>
      </c>
      <c r="B52" s="135"/>
      <c r="C52" s="136"/>
      <c r="D52" s="137">
        <f t="shared" si="1"/>
        <v>0</v>
      </c>
      <c r="E52" s="138"/>
      <c r="F52" s="133">
        <f t="shared" si="0"/>
        <v>0</v>
      </c>
      <c r="G52" s="213">
        <v>26250000.000000004</v>
      </c>
      <c r="H52" s="214">
        <f t="shared" si="6"/>
        <v>10.320835416307274</v>
      </c>
      <c r="I52" s="213">
        <f t="shared" si="7"/>
        <v>35000000.000000007</v>
      </c>
      <c r="J52" s="214">
        <f t="shared" si="6"/>
        <v>10.320835416307274</v>
      </c>
      <c r="K52" s="333" t="s">
        <v>417</v>
      </c>
      <c r="L52" s="338">
        <v>35000000</v>
      </c>
    </row>
    <row r="53" spans="1:13" ht="16" customHeight="1">
      <c r="A53" s="147" t="s">
        <v>173</v>
      </c>
      <c r="B53" s="146"/>
      <c r="C53" s="136"/>
      <c r="D53" s="137">
        <f t="shared" si="1"/>
        <v>0</v>
      </c>
      <c r="E53" s="138"/>
      <c r="F53" s="133">
        <f t="shared" si="0"/>
        <v>0</v>
      </c>
      <c r="G53" s="213">
        <v>0</v>
      </c>
      <c r="H53" s="214">
        <f t="shared" si="6"/>
        <v>0</v>
      </c>
      <c r="I53" s="213">
        <f t="shared" si="7"/>
        <v>0</v>
      </c>
      <c r="J53" s="214">
        <f t="shared" si="6"/>
        <v>0</v>
      </c>
      <c r="K53" s="333" t="s">
        <v>418</v>
      </c>
    </row>
    <row r="54" spans="1:13" ht="16" customHeight="1">
      <c r="A54" s="147" t="s">
        <v>38</v>
      </c>
      <c r="B54" s="146"/>
      <c r="C54" s="136"/>
      <c r="D54" s="137">
        <f t="shared" si="1"/>
        <v>0</v>
      </c>
      <c r="E54" s="138"/>
      <c r="F54" s="133">
        <f t="shared" si="0"/>
        <v>0</v>
      </c>
      <c r="G54" s="213">
        <v>0</v>
      </c>
      <c r="H54" s="214">
        <f t="shared" si="6"/>
        <v>0</v>
      </c>
      <c r="I54" s="213">
        <f t="shared" si="7"/>
        <v>0</v>
      </c>
      <c r="J54" s="214">
        <f t="shared" si="6"/>
        <v>0</v>
      </c>
      <c r="K54" s="333" t="s">
        <v>419</v>
      </c>
    </row>
    <row r="55" spans="1:13" ht="24">
      <c r="A55" s="147" t="s">
        <v>174</v>
      </c>
      <c r="B55" s="146"/>
      <c r="C55" s="136"/>
      <c r="D55" s="137">
        <f t="shared" si="1"/>
        <v>0</v>
      </c>
      <c r="E55" s="138"/>
      <c r="F55" s="133">
        <f t="shared" si="0"/>
        <v>0</v>
      </c>
      <c r="G55" s="213">
        <v>34500000</v>
      </c>
      <c r="H55" s="214">
        <f t="shared" si="6"/>
        <v>13.564526547146702</v>
      </c>
      <c r="I55" s="213">
        <f t="shared" si="7"/>
        <v>46000000</v>
      </c>
      <c r="J55" s="214">
        <f t="shared" si="6"/>
        <v>13.5645265471467</v>
      </c>
      <c r="K55" s="333" t="s">
        <v>420</v>
      </c>
      <c r="L55" s="338">
        <v>46000000</v>
      </c>
      <c r="M55" s="117">
        <f>+L55*0.75</f>
        <v>34500000</v>
      </c>
    </row>
    <row r="56" spans="1:13">
      <c r="A56" s="134" t="s">
        <v>164</v>
      </c>
      <c r="B56" s="135"/>
      <c r="C56" s="136"/>
      <c r="D56" s="137">
        <f t="shared" si="1"/>
        <v>0</v>
      </c>
      <c r="E56" s="138"/>
      <c r="F56" s="133">
        <f t="shared" si="0"/>
        <v>0</v>
      </c>
      <c r="G56" s="213">
        <v>13312500.000000002</v>
      </c>
      <c r="H56" s="214">
        <f t="shared" si="6"/>
        <v>5.2341379611272609</v>
      </c>
      <c r="I56" s="213">
        <f t="shared" si="7"/>
        <v>17750000.000000004</v>
      </c>
      <c r="J56" s="214">
        <f t="shared" si="6"/>
        <v>5.2341379611272609</v>
      </c>
      <c r="K56" s="333" t="s">
        <v>421</v>
      </c>
      <c r="L56" s="338">
        <v>17750000</v>
      </c>
    </row>
    <row r="57" spans="1:13">
      <c r="A57" s="134" t="s">
        <v>175</v>
      </c>
      <c r="B57" s="135"/>
      <c r="C57" s="136"/>
      <c r="D57" s="137">
        <f t="shared" si="1"/>
        <v>0</v>
      </c>
      <c r="E57" s="138"/>
      <c r="F57" s="133">
        <f t="shared" si="0"/>
        <v>0</v>
      </c>
      <c r="G57" s="213">
        <v>18750000.000000004</v>
      </c>
      <c r="H57" s="214">
        <f t="shared" si="6"/>
        <v>7.372025297362339</v>
      </c>
      <c r="I57" s="213">
        <f t="shared" si="7"/>
        <v>25000000.000000004</v>
      </c>
      <c r="J57" s="214">
        <f t="shared" si="6"/>
        <v>7.3720252973623381</v>
      </c>
      <c r="K57" s="333" t="s">
        <v>422</v>
      </c>
      <c r="L57" s="338">
        <v>25000000</v>
      </c>
    </row>
    <row r="58" spans="1:13" ht="24">
      <c r="A58" s="128" t="s">
        <v>39</v>
      </c>
      <c r="B58" s="129">
        <f t="shared" ref="B58:C58" si="8">SUM(B59:B65)</f>
        <v>111736944.58729365</v>
      </c>
      <c r="C58" s="130">
        <f t="shared" si="8"/>
        <v>7.303651825912957</v>
      </c>
      <c r="D58" s="148">
        <f>(B58/(1-$D$1))</f>
        <v>148982592.7830582</v>
      </c>
      <c r="E58" s="132">
        <f t="shared" ref="E58" si="9">SUM(E59:E65)</f>
        <v>7.3036518236872903</v>
      </c>
      <c r="F58" s="133">
        <f t="shared" si="0"/>
        <v>148982592.7830582</v>
      </c>
      <c r="G58" s="217">
        <f t="shared" ref="G58:H58" si="10">SUM(G59:G65)</f>
        <v>50868750.000000007</v>
      </c>
      <c r="H58" s="218">
        <f t="shared" si="10"/>
        <v>20.000304631744026</v>
      </c>
      <c r="I58" s="217">
        <f t="shared" si="7"/>
        <v>67825000.000000015</v>
      </c>
      <c r="J58" s="218">
        <f t="shared" ref="J58" si="11">SUM(J59:J65)</f>
        <v>20.000304616606567</v>
      </c>
      <c r="K58" s="343">
        <f>+I82*0.2</f>
        <v>67823966.933333337</v>
      </c>
      <c r="L58" s="338">
        <f>+K58-I58</f>
        <v>-1033.0666666775942</v>
      </c>
    </row>
    <row r="59" spans="1:13">
      <c r="A59" s="134" t="s">
        <v>40</v>
      </c>
      <c r="B59" s="135">
        <f t="shared" ref="B59:B65" si="12">+C59*$B$82/100</f>
        <v>0</v>
      </c>
      <c r="C59" s="136"/>
      <c r="D59" s="137">
        <f t="shared" si="1"/>
        <v>0</v>
      </c>
      <c r="E59" s="138">
        <f t="shared" ref="E59:E64" si="13">D59/D$80*100</f>
        <v>0</v>
      </c>
      <c r="F59" s="133">
        <f t="shared" si="0"/>
        <v>0</v>
      </c>
      <c r="G59" s="213">
        <v>15000000.000000002</v>
      </c>
      <c r="H59" s="214">
        <f t="shared" ref="H59:H64" si="14">+G59/G$82%</f>
        <v>5.8976202378898712</v>
      </c>
      <c r="I59" s="213">
        <f t="shared" si="7"/>
        <v>20000000.000000004</v>
      </c>
      <c r="J59" s="216">
        <f t="shared" ref="J59:J64" si="15">I59/I$80*100</f>
        <v>5.8976202334261902</v>
      </c>
    </row>
    <row r="60" spans="1:13">
      <c r="A60" s="134" t="s">
        <v>325</v>
      </c>
      <c r="B60" s="135">
        <f t="shared" si="12"/>
        <v>0</v>
      </c>
      <c r="C60" s="136"/>
      <c r="D60" s="137">
        <f t="shared" si="1"/>
        <v>0</v>
      </c>
      <c r="E60" s="138">
        <f t="shared" si="13"/>
        <v>0</v>
      </c>
      <c r="F60" s="133">
        <f t="shared" si="0"/>
        <v>0</v>
      </c>
      <c r="G60" s="213">
        <v>15000000.000000002</v>
      </c>
      <c r="H60" s="214">
        <f t="shared" si="14"/>
        <v>5.8976202378898712</v>
      </c>
      <c r="I60" s="213">
        <f t="shared" si="7"/>
        <v>20000000.000000004</v>
      </c>
      <c r="J60" s="216">
        <f t="shared" si="15"/>
        <v>5.8976202334261902</v>
      </c>
    </row>
    <row r="61" spans="1:13" ht="36">
      <c r="A61" s="134" t="s">
        <v>41</v>
      </c>
      <c r="B61" s="135">
        <f t="shared" si="12"/>
        <v>59721100.917293653</v>
      </c>
      <c r="C61" s="299">
        <v>3.9036518259129571</v>
      </c>
      <c r="D61" s="137">
        <f t="shared" si="1"/>
        <v>79628134.556391537</v>
      </c>
      <c r="E61" s="138">
        <f t="shared" si="13"/>
        <v>3.9036518247233838</v>
      </c>
      <c r="F61" s="133">
        <f t="shared" si="0"/>
        <v>79628134.556391537</v>
      </c>
      <c r="G61" s="213">
        <v>7500000.0000000009</v>
      </c>
      <c r="H61" s="214">
        <f t="shared" si="14"/>
        <v>2.9488101189449356</v>
      </c>
      <c r="I61" s="213">
        <f t="shared" si="7"/>
        <v>10000000.000000002</v>
      </c>
      <c r="J61" s="216">
        <f t="shared" si="15"/>
        <v>2.9488101167130951</v>
      </c>
    </row>
    <row r="62" spans="1:13">
      <c r="A62" s="134" t="s">
        <v>42</v>
      </c>
      <c r="B62" s="135">
        <f t="shared" si="12"/>
        <v>30062097.885750003</v>
      </c>
      <c r="C62" s="299">
        <f>0.8+1.165</f>
        <v>1.9650000000000001</v>
      </c>
      <c r="D62" s="137">
        <f t="shared" si="1"/>
        <v>40082797.181000002</v>
      </c>
      <c r="E62" s="138">
        <f t="shared" si="13"/>
        <v>1.9649999994011988</v>
      </c>
      <c r="F62" s="133">
        <f t="shared" si="0"/>
        <v>40082797.181000002</v>
      </c>
      <c r="G62" s="213">
        <v>7500000.0000000009</v>
      </c>
      <c r="H62" s="214">
        <f t="shared" si="14"/>
        <v>2.9488101189449356</v>
      </c>
      <c r="I62" s="213">
        <f t="shared" si="7"/>
        <v>10000000.000000002</v>
      </c>
      <c r="J62" s="216">
        <f t="shared" si="15"/>
        <v>2.9488101167130951</v>
      </c>
    </row>
    <row r="63" spans="1:13" ht="24">
      <c r="A63" s="134" t="s">
        <v>43</v>
      </c>
      <c r="B63" s="135">
        <f t="shared" si="12"/>
        <v>9714723.7442500014</v>
      </c>
      <c r="C63" s="299">
        <f>1.8-1.165</f>
        <v>0.63500000000000001</v>
      </c>
      <c r="D63" s="137">
        <f t="shared" si="1"/>
        <v>12952964.992333336</v>
      </c>
      <c r="E63" s="138">
        <f t="shared" si="13"/>
        <v>0.63499999980649446</v>
      </c>
      <c r="F63" s="133">
        <f t="shared" si="0"/>
        <v>12952964.992333336</v>
      </c>
      <c r="G63" s="213"/>
      <c r="H63" s="214">
        <f t="shared" si="14"/>
        <v>0</v>
      </c>
      <c r="I63" s="213">
        <f t="shared" si="7"/>
        <v>0</v>
      </c>
      <c r="J63" s="216">
        <f t="shared" si="15"/>
        <v>0</v>
      </c>
    </row>
    <row r="64" spans="1:13" ht="24">
      <c r="A64" s="134" t="s">
        <v>44</v>
      </c>
      <c r="B64" s="135">
        <f t="shared" si="12"/>
        <v>12239022.039999999</v>
      </c>
      <c r="C64" s="299">
        <v>0.8</v>
      </c>
      <c r="D64" s="137">
        <f t="shared" si="1"/>
        <v>16318696.053333333</v>
      </c>
      <c r="E64" s="138">
        <f t="shared" si="13"/>
        <v>0.79999999975621328</v>
      </c>
      <c r="F64" s="133">
        <f t="shared" si="0"/>
        <v>16318696.053333333</v>
      </c>
      <c r="G64" s="213"/>
      <c r="H64" s="214">
        <f t="shared" si="14"/>
        <v>0</v>
      </c>
      <c r="I64" s="213">
        <f t="shared" si="7"/>
        <v>0</v>
      </c>
      <c r="J64" s="216">
        <f t="shared" si="15"/>
        <v>0</v>
      </c>
    </row>
    <row r="65" spans="1:14">
      <c r="A65" s="147" t="s">
        <v>177</v>
      </c>
      <c r="B65" s="146">
        <f t="shared" si="12"/>
        <v>0</v>
      </c>
      <c r="C65" s="139">
        <v>0</v>
      </c>
      <c r="D65" s="137"/>
      <c r="E65" s="140">
        <v>0</v>
      </c>
      <c r="F65" s="133">
        <f t="shared" si="0"/>
        <v>0</v>
      </c>
      <c r="G65" s="213">
        <f>5775000+93750</f>
        <v>5868750</v>
      </c>
      <c r="H65" s="214">
        <f t="shared" ref="H65" si="16">+G65/G$82%</f>
        <v>2.3074439180744117</v>
      </c>
      <c r="I65" s="213">
        <f t="shared" si="7"/>
        <v>7825000</v>
      </c>
      <c r="J65" s="216">
        <f t="shared" ref="J65" si="17">I65/I$80*100</f>
        <v>2.3074439163279963</v>
      </c>
    </row>
    <row r="66" spans="1:14" ht="24">
      <c r="A66" s="128" t="s">
        <v>45</v>
      </c>
      <c r="B66" s="129">
        <f>SUM(B67:B71)</f>
        <v>109440979.31704275</v>
      </c>
      <c r="C66" s="130">
        <f>SUM(C67:C71)</f>
        <v>7.1535767455513302</v>
      </c>
      <c r="D66" s="131">
        <f t="shared" si="1"/>
        <v>145921305.75605699</v>
      </c>
      <c r="E66" s="132">
        <f>SUM(E67:E71)</f>
        <v>7.1535767433713966</v>
      </c>
      <c r="F66" s="133">
        <f t="shared" si="0"/>
        <v>145921305.75605699</v>
      </c>
      <c r="G66" s="217">
        <f>SUM(G67:G71)</f>
        <v>64612500</v>
      </c>
      <c r="H66" s="218">
        <f>SUM(H67:H71)</f>
        <v>25.403999174710616</v>
      </c>
      <c r="I66" s="217">
        <f t="shared" si="7"/>
        <v>86150000</v>
      </c>
      <c r="J66" s="218">
        <f>SUM(J67:J71)</f>
        <v>25.403999155483312</v>
      </c>
      <c r="L66" s="339">
        <f>SUM(L67:L69)</f>
        <v>86150000</v>
      </c>
    </row>
    <row r="67" spans="1:14" ht="18">
      <c r="A67" s="134" t="s">
        <v>46</v>
      </c>
      <c r="B67" s="135">
        <f>+C67*$B$82/100</f>
        <v>0</v>
      </c>
      <c r="C67" s="149"/>
      <c r="D67" s="137">
        <f t="shared" si="1"/>
        <v>0</v>
      </c>
      <c r="E67" s="150"/>
      <c r="F67" s="133">
        <f t="shared" si="0"/>
        <v>0</v>
      </c>
      <c r="G67" s="215">
        <v>22912500</v>
      </c>
      <c r="H67" s="214">
        <f>+G67/G$82%</f>
        <v>9.0086149133767766</v>
      </c>
      <c r="I67" s="215">
        <f t="shared" si="7"/>
        <v>30550000</v>
      </c>
      <c r="J67" s="216">
        <f t="shared" ref="J67:J70" si="18">I67/I$80*100</f>
        <v>9.0086149065585044</v>
      </c>
      <c r="L67" s="340">
        <v>30550000</v>
      </c>
      <c r="M67" s="117">
        <f>+L67*0.75</f>
        <v>22912500</v>
      </c>
      <c r="N67" s="331"/>
    </row>
    <row r="68" spans="1:14" ht="24">
      <c r="A68" s="134" t="s">
        <v>47</v>
      </c>
      <c r="B68" s="135">
        <f>+C68*$B$82/100</f>
        <v>33712030.979999959</v>
      </c>
      <c r="C68" s="149">
        <f>2.50357678055133-1.3+0.6+0.4</f>
        <v>2.2035767805513298</v>
      </c>
      <c r="D68" s="137">
        <f t="shared" si="1"/>
        <v>44949374.639999948</v>
      </c>
      <c r="E68" s="138">
        <f t="shared" ref="E68:E70" si="19">D68/D$80*100</f>
        <v>2.2035767798798265</v>
      </c>
      <c r="F68" s="133">
        <f t="shared" si="0"/>
        <v>44949374.639999948</v>
      </c>
      <c r="G68" s="215">
        <v>26700000</v>
      </c>
      <c r="H68" s="214">
        <f t="shared" ref="H68:H69" si="20">+G68/G$82%</f>
        <v>10.497764023443969</v>
      </c>
      <c r="I68" s="215">
        <f t="shared" si="7"/>
        <v>35600000</v>
      </c>
      <c r="J68" s="216">
        <f t="shared" si="18"/>
        <v>10.497764015498618</v>
      </c>
      <c r="L68" s="340">
        <v>35600000</v>
      </c>
      <c r="M68" s="117">
        <f t="shared" ref="M68:M69" si="21">+L68*0.75</f>
        <v>26700000</v>
      </c>
      <c r="N68" s="331"/>
    </row>
    <row r="69" spans="1:14" ht="18">
      <c r="A69" s="134" t="s">
        <v>48</v>
      </c>
      <c r="B69" s="135">
        <f>+C69*$B$82/100</f>
        <v>0</v>
      </c>
      <c r="C69" s="149"/>
      <c r="D69" s="137">
        <f t="shared" si="1"/>
        <v>0</v>
      </c>
      <c r="E69" s="138">
        <f t="shared" si="19"/>
        <v>0</v>
      </c>
      <c r="F69" s="133">
        <f t="shared" si="0"/>
        <v>0</v>
      </c>
      <c r="G69" s="215">
        <v>15000000</v>
      </c>
      <c r="H69" s="214">
        <f t="shared" si="20"/>
        <v>5.8976202378898703</v>
      </c>
      <c r="I69" s="215">
        <f t="shared" si="7"/>
        <v>20000000</v>
      </c>
      <c r="J69" s="216">
        <f t="shared" si="18"/>
        <v>5.8976202334261894</v>
      </c>
      <c r="L69" s="340">
        <v>20000000</v>
      </c>
      <c r="M69" s="117">
        <f t="shared" si="21"/>
        <v>15000000</v>
      </c>
      <c r="N69" s="331"/>
    </row>
    <row r="70" spans="1:14" ht="24">
      <c r="A70" s="134" t="s">
        <v>49</v>
      </c>
      <c r="B70" s="135">
        <f>+C70*$B$82/100</f>
        <v>45131393.772500001</v>
      </c>
      <c r="C70" s="149">
        <f>3.25+0.3-0.6</f>
        <v>2.9499999999999997</v>
      </c>
      <c r="D70" s="137">
        <f t="shared" si="1"/>
        <v>60175191.696666665</v>
      </c>
      <c r="E70" s="138">
        <f t="shared" si="19"/>
        <v>2.9499999991010362</v>
      </c>
      <c r="F70" s="133">
        <f t="shared" ref="F70:F79" si="22">+D70</f>
        <v>60175191.696666665</v>
      </c>
      <c r="G70" s="213">
        <f t="shared" ref="G70:G77" si="23">$C$82*H70/100</f>
        <v>0</v>
      </c>
      <c r="H70" s="214"/>
      <c r="I70" s="213">
        <f t="shared" si="7"/>
        <v>0</v>
      </c>
      <c r="J70" s="216">
        <f t="shared" si="18"/>
        <v>0</v>
      </c>
      <c r="L70" s="341"/>
      <c r="N70" s="331"/>
    </row>
    <row r="71" spans="1:14" ht="24">
      <c r="A71" s="134" t="s">
        <v>50</v>
      </c>
      <c r="B71" s="135">
        <f>+C71*$B$82/100</f>
        <v>30597554.564542789</v>
      </c>
      <c r="C71" s="149">
        <f>1.399999965+1-0.4</f>
        <v>1.9999999650000002</v>
      </c>
      <c r="D71" s="137">
        <f t="shared" ref="D71:D80" si="24">(B71/(1-$D$1))</f>
        <v>40796739.419390388</v>
      </c>
      <c r="E71" s="138">
        <f>D71/D$80*100</f>
        <v>1.9999999643905335</v>
      </c>
      <c r="F71" s="133">
        <f t="shared" si="22"/>
        <v>40796739.419390388</v>
      </c>
      <c r="G71" s="213">
        <f t="shared" si="23"/>
        <v>0</v>
      </c>
      <c r="H71" s="214"/>
      <c r="I71" s="213">
        <f t="shared" si="7"/>
        <v>0</v>
      </c>
      <c r="J71" s="216">
        <f>I71/I$80*100</f>
        <v>0</v>
      </c>
      <c r="N71" s="332"/>
    </row>
    <row r="72" spans="1:14" ht="24">
      <c r="A72" s="128" t="s">
        <v>51</v>
      </c>
      <c r="B72" s="129">
        <f>SUM(B73:B77)</f>
        <v>0</v>
      </c>
      <c r="C72" s="130">
        <f>SUM(C73:C77)</f>
        <v>0</v>
      </c>
      <c r="D72" s="131">
        <f t="shared" si="24"/>
        <v>0</v>
      </c>
      <c r="E72" s="132">
        <f>SUM(E73:E77)</f>
        <v>0</v>
      </c>
      <c r="F72" s="133">
        <f t="shared" si="22"/>
        <v>0</v>
      </c>
      <c r="G72" s="217">
        <f>SUM(G73:G77)</f>
        <v>12296126.192500001</v>
      </c>
      <c r="H72" s="218">
        <f>SUM(H73:H77)</f>
        <v>4.8345255120357145</v>
      </c>
      <c r="I72" s="217">
        <f t="shared" si="7"/>
        <v>16394834.923333334</v>
      </c>
      <c r="J72" s="218">
        <f>SUM(J73:J77)</f>
        <v>4.8345255083766494</v>
      </c>
    </row>
    <row r="73" spans="1:14">
      <c r="A73" s="134" t="s">
        <v>52</v>
      </c>
      <c r="B73" s="135">
        <f>+C73*$B$82/100</f>
        <v>0</v>
      </c>
      <c r="C73" s="136"/>
      <c r="D73" s="137">
        <f t="shared" si="24"/>
        <v>0</v>
      </c>
      <c r="E73" s="138"/>
      <c r="F73" s="133">
        <f t="shared" si="22"/>
        <v>0</v>
      </c>
      <c r="G73" s="213">
        <v>2849671.48</v>
      </c>
      <c r="H73" s="219">
        <f>+G73/G$82%</f>
        <v>1.1204186794523718</v>
      </c>
      <c r="I73" s="213">
        <f t="shared" si="7"/>
        <v>3799561.9733333332</v>
      </c>
      <c r="J73" s="216">
        <f>I73/I$80*100</f>
        <v>1.1204186786043702</v>
      </c>
    </row>
    <row r="74" spans="1:14">
      <c r="A74" s="134" t="s">
        <v>53</v>
      </c>
      <c r="B74" s="135">
        <f>+C74*$B$82/100</f>
        <v>0</v>
      </c>
      <c r="C74" s="136"/>
      <c r="D74" s="137">
        <f t="shared" si="24"/>
        <v>0</v>
      </c>
      <c r="E74" s="138"/>
      <c r="F74" s="133">
        <f t="shared" si="22"/>
        <v>0</v>
      </c>
      <c r="G74" s="213">
        <f>9540204.7125-93750</f>
        <v>9446454.7125000004</v>
      </c>
      <c r="H74" s="219">
        <f t="shared" ref="H74:H76" si="25">+G74/G$82%</f>
        <v>3.7141068325833424</v>
      </c>
      <c r="I74" s="213">
        <f t="shared" si="7"/>
        <v>12595272.950000001</v>
      </c>
      <c r="J74" s="216">
        <f t="shared" ref="J74:J76" si="26">I74/I$80*100</f>
        <v>3.714106829772279</v>
      </c>
    </row>
    <row r="75" spans="1:14">
      <c r="A75" s="134" t="s">
        <v>54</v>
      </c>
      <c r="B75" s="135">
        <f>+C75*$B$82/100</f>
        <v>0</v>
      </c>
      <c r="C75" s="136"/>
      <c r="D75" s="137">
        <f t="shared" si="24"/>
        <v>0</v>
      </c>
      <c r="E75" s="138"/>
      <c r="F75" s="133">
        <f t="shared" si="22"/>
        <v>0</v>
      </c>
      <c r="G75" s="213"/>
      <c r="H75" s="219">
        <f t="shared" si="25"/>
        <v>0</v>
      </c>
      <c r="I75" s="213">
        <f t="shared" si="7"/>
        <v>0</v>
      </c>
      <c r="J75" s="216">
        <f t="shared" si="26"/>
        <v>0</v>
      </c>
    </row>
    <row r="76" spans="1:14" ht="24">
      <c r="A76" s="134" t="s">
        <v>55</v>
      </c>
      <c r="B76" s="135">
        <f>+C76*$B$82/100</f>
        <v>0</v>
      </c>
      <c r="C76" s="136"/>
      <c r="D76" s="137">
        <f t="shared" si="24"/>
        <v>0</v>
      </c>
      <c r="E76" s="138"/>
      <c r="F76" s="133">
        <f t="shared" si="22"/>
        <v>0</v>
      </c>
      <c r="G76" s="213"/>
      <c r="H76" s="219">
        <f t="shared" si="25"/>
        <v>0</v>
      </c>
      <c r="I76" s="213">
        <f t="shared" si="7"/>
        <v>0</v>
      </c>
      <c r="J76" s="216">
        <f t="shared" si="26"/>
        <v>0</v>
      </c>
    </row>
    <row r="77" spans="1:14" ht="24">
      <c r="A77" s="134" t="s">
        <v>56</v>
      </c>
      <c r="B77" s="151">
        <f>+C77*$B$82/100</f>
        <v>0</v>
      </c>
      <c r="C77" s="136">
        <v>0</v>
      </c>
      <c r="D77" s="137">
        <f t="shared" si="24"/>
        <v>0</v>
      </c>
      <c r="E77" s="152">
        <v>0</v>
      </c>
      <c r="F77" s="133">
        <f t="shared" si="22"/>
        <v>0</v>
      </c>
      <c r="G77" s="213">
        <f t="shared" si="23"/>
        <v>0</v>
      </c>
      <c r="H77" s="216"/>
      <c r="I77" s="213">
        <f t="shared" si="7"/>
        <v>0</v>
      </c>
      <c r="J77" s="216">
        <v>0</v>
      </c>
    </row>
    <row r="78" spans="1:14">
      <c r="A78" s="153" t="s">
        <v>160</v>
      </c>
      <c r="B78" s="154">
        <f t="shared" ref="B78:C78" si="27">B72+B66+B58+B50+B44+B35+B31+B24+B15+B11+B5</f>
        <v>1478626850.6737049</v>
      </c>
      <c r="C78" s="155">
        <f t="shared" si="27"/>
        <v>96.650000030473336</v>
      </c>
      <c r="D78" s="137">
        <f t="shared" si="24"/>
        <v>1971502467.5649397</v>
      </c>
      <c r="E78" s="156">
        <f t="shared" ref="E78" si="28">E72+E66+E58+E50+E44+E35+E31+E24+E15+E11+E5</f>
        <v>96.650000001020842</v>
      </c>
      <c r="F78" s="133">
        <f t="shared" si="22"/>
        <v>1971502467.5649397</v>
      </c>
      <c r="G78" s="220">
        <f>G72+G66+G58+G50+G44+G35+G31+G24+G15+G11+G5</f>
        <v>254339876.1925</v>
      </c>
      <c r="H78" s="221">
        <f t="shared" ref="H78" si="29">H72+H66+H58+H50+H44+H35+H31+H24+H15+H11+H5</f>
        <v>100.00000007568615</v>
      </c>
      <c r="I78" s="220">
        <f t="shared" si="7"/>
        <v>339119834.92333335</v>
      </c>
      <c r="J78" s="221">
        <f t="shared" ref="J78" si="30">J72+J66+J58+J50+J44+J35+J31+J24+J15+J11+J5</f>
        <v>100.00000003766232</v>
      </c>
    </row>
    <row r="79" spans="1:14" s="159" customFormat="1">
      <c r="A79" s="128" t="s">
        <v>57</v>
      </c>
      <c r="B79" s="157">
        <f>+C79*$B$82/100</f>
        <v>51250904.792499997</v>
      </c>
      <c r="C79" s="158">
        <f>4-0.4-0.25</f>
        <v>3.35</v>
      </c>
      <c r="D79" s="131">
        <f t="shared" si="24"/>
        <v>68334539.723333329</v>
      </c>
      <c r="E79" s="132">
        <f>D79/D$80*100</f>
        <v>3.3499999989791434</v>
      </c>
      <c r="F79" s="133">
        <f t="shared" si="22"/>
        <v>68334539.723333329</v>
      </c>
      <c r="G79" s="217"/>
      <c r="H79" s="222"/>
      <c r="I79" s="217">
        <f t="shared" si="7"/>
        <v>0</v>
      </c>
      <c r="J79" s="222"/>
      <c r="K79" s="342"/>
      <c r="L79" s="342"/>
    </row>
    <row r="80" spans="1:14" ht="21.75" customHeight="1">
      <c r="A80" s="160" t="s">
        <v>58</v>
      </c>
      <c r="B80" s="161">
        <f>+B79+B72+B66+B58+B50+B44+B35+B31+B24+B15+B11+B5</f>
        <v>1529877755.4662049</v>
      </c>
      <c r="C80" s="144">
        <f>+C79+C72+C66+C58+C50++C44+C35+C31+C24+C15+C11+C5</f>
        <v>100.00000003047333</v>
      </c>
      <c r="D80" s="162">
        <f t="shared" si="24"/>
        <v>2039837007.2882731</v>
      </c>
      <c r="E80" s="144">
        <f>+E79+E72+E66+E58+E50++E44+E35+E31+E24+E15+E11+E5</f>
        <v>99.999999999999986</v>
      </c>
      <c r="F80" s="162">
        <f>+F79+F72+F66+F58+F50++F44+F35+F31+F24+F15+F11+F5</f>
        <v>2039837007.2882733</v>
      </c>
      <c r="G80" s="223">
        <f>+G79+G72+G66+G58+G50+G44+G35+G31+G24+G15+G11+G5</f>
        <v>254339876.1925</v>
      </c>
      <c r="H80" s="224">
        <f>+H79+H72+H66+H58+H50++H44+H35+H31+H24+H15+H11+H5</f>
        <v>100.00000007568615</v>
      </c>
      <c r="I80" s="223">
        <f t="shared" si="7"/>
        <v>339119834.92333335</v>
      </c>
      <c r="J80" s="224">
        <f>+J79+J72+J66+J58+J50++J44+J35+J31+J24+J15+J11+J5</f>
        <v>100.00000003766232</v>
      </c>
    </row>
    <row r="81" spans="1:10" ht="21.75" customHeight="1">
      <c r="A81" s="163"/>
      <c r="B81" s="164"/>
      <c r="C81" s="165"/>
      <c r="D81" s="166"/>
      <c r="E81" s="167"/>
      <c r="F81" s="166"/>
      <c r="G81" s="225"/>
      <c r="H81" s="226"/>
      <c r="I81" s="227"/>
      <c r="J81" s="228"/>
    </row>
    <row r="82" spans="1:10">
      <c r="A82" s="168" t="s">
        <v>297</v>
      </c>
      <c r="B82" s="169">
        <v>1529877755</v>
      </c>
      <c r="C82" s="170"/>
      <c r="D82" s="171"/>
      <c r="E82" s="170"/>
      <c r="F82" s="171"/>
      <c r="G82" s="229">
        <v>254339876</v>
      </c>
      <c r="H82" s="230"/>
      <c r="I82" s="229">
        <f>(G82/(1-D1))</f>
        <v>339119834.66666669</v>
      </c>
      <c r="J82" s="230"/>
    </row>
    <row r="84" spans="1:10">
      <c r="A84" s="115"/>
      <c r="B84" s="115"/>
      <c r="D84" s="115"/>
      <c r="F84" s="115"/>
      <c r="G84" s="202">
        <f>+G80-G82</f>
        <v>0.19249999523162842</v>
      </c>
      <c r="I84" s="202">
        <f>+I80-I82</f>
        <v>0.25666666030883789</v>
      </c>
    </row>
    <row r="86" spans="1:10">
      <c r="G86" s="231"/>
    </row>
    <row r="87" spans="1:10">
      <c r="B87" s="172"/>
    </row>
  </sheetData>
  <mergeCells count="1">
    <mergeCell ref="A3:A4"/>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S93"/>
  <sheetViews>
    <sheetView tabSelected="1" topLeftCell="A4" zoomScale="138" zoomScaleNormal="138" zoomScalePageLayoutView="138" workbookViewId="0">
      <pane xSplit="1" ySplit="4" topLeftCell="G8" activePane="bottomRight" state="frozen"/>
      <selection activeCell="A4" sqref="A4"/>
      <selection pane="topRight" activeCell="B4" sqref="B4"/>
      <selection pane="bottomLeft" activeCell="A8" sqref="A8"/>
      <selection pane="bottomRight" activeCell="T5" sqref="T5"/>
    </sheetView>
  </sheetViews>
  <sheetFormatPr baseColWidth="10" defaultColWidth="8.83203125" defaultRowHeight="14" x14ac:dyDescent="0"/>
  <cols>
    <col min="1" max="1" width="76.6640625" style="17" customWidth="1"/>
    <col min="2" max="2" width="14" style="64" customWidth="1"/>
    <col min="3" max="3" width="8.1640625" style="14" customWidth="1"/>
    <col min="4" max="4" width="11.5" style="15" customWidth="1"/>
    <col min="5" max="5" width="8.1640625" style="15" customWidth="1"/>
    <col min="6" max="6" width="13.1640625" style="13" customWidth="1"/>
    <col min="7" max="7" width="8.33203125" style="13" customWidth="1"/>
    <col min="8" max="8" width="12.1640625" style="174" customWidth="1"/>
    <col min="9" max="9" width="9" style="175" customWidth="1"/>
    <col min="10" max="10" width="11.5" style="177" customWidth="1"/>
    <col min="11" max="11" width="8.33203125" style="177" customWidth="1"/>
    <col min="12" max="12" width="12.1640625" style="174" customWidth="1"/>
    <col min="13" max="13" width="8.83203125" style="174" customWidth="1"/>
    <col min="14" max="14" width="13.6640625" style="13" customWidth="1"/>
    <col min="15" max="15" width="8.33203125" style="14" customWidth="1"/>
    <col min="16" max="16" width="11.83203125" style="15" customWidth="1"/>
    <col min="17" max="17" width="8.33203125" style="15" customWidth="1"/>
    <col min="18" max="18" width="13" style="86" customWidth="1"/>
    <col min="19" max="19" width="9" style="13" customWidth="1"/>
    <col min="20" max="16384" width="8.83203125" style="17"/>
  </cols>
  <sheetData>
    <row r="2" spans="1:19">
      <c r="A2" s="23" t="s">
        <v>63</v>
      </c>
      <c r="C2" s="75"/>
      <c r="D2" s="16">
        <v>0.25</v>
      </c>
      <c r="J2" s="176">
        <v>0.25</v>
      </c>
      <c r="P2" s="16">
        <v>0.25</v>
      </c>
    </row>
    <row r="3" spans="1:19">
      <c r="A3" s="23" t="s">
        <v>0</v>
      </c>
      <c r="C3" s="76"/>
      <c r="D3" s="16"/>
      <c r="J3" s="176"/>
      <c r="P3" s="16"/>
    </row>
    <row r="4" spans="1:19">
      <c r="A4" s="353"/>
      <c r="B4" s="346" t="s">
        <v>64</v>
      </c>
      <c r="C4" s="347"/>
      <c r="D4" s="347"/>
      <c r="E4" s="347"/>
      <c r="F4" s="347"/>
      <c r="G4" s="348"/>
      <c r="H4" s="362" t="s">
        <v>65</v>
      </c>
      <c r="I4" s="363"/>
      <c r="J4" s="363"/>
      <c r="K4" s="363"/>
      <c r="L4" s="363"/>
      <c r="M4" s="364"/>
      <c r="N4" s="346" t="s">
        <v>58</v>
      </c>
      <c r="O4" s="347"/>
      <c r="P4" s="347"/>
      <c r="Q4" s="347"/>
      <c r="R4" s="347"/>
      <c r="S4" s="348"/>
    </row>
    <row r="5" spans="1:19" ht="14" customHeight="1">
      <c r="A5" s="354"/>
      <c r="B5" s="356" t="s">
        <v>67</v>
      </c>
      <c r="C5" s="360"/>
      <c r="D5" s="349" t="s">
        <v>61</v>
      </c>
      <c r="E5" s="350"/>
      <c r="F5" s="356" t="s">
        <v>66</v>
      </c>
      <c r="G5" s="357"/>
      <c r="H5" s="356" t="s">
        <v>326</v>
      </c>
      <c r="I5" s="360"/>
      <c r="J5" s="349" t="s">
        <v>61</v>
      </c>
      <c r="K5" s="350"/>
      <c r="L5" s="356" t="s">
        <v>68</v>
      </c>
      <c r="M5" s="357"/>
      <c r="N5" s="356" t="s">
        <v>69</v>
      </c>
      <c r="O5" s="357"/>
      <c r="P5" s="349" t="s">
        <v>61</v>
      </c>
      <c r="Q5" s="350"/>
      <c r="R5" s="356" t="s">
        <v>62</v>
      </c>
      <c r="S5" s="360"/>
    </row>
    <row r="6" spans="1:19" ht="14" customHeight="1">
      <c r="A6" s="354"/>
      <c r="B6" s="358"/>
      <c r="C6" s="361"/>
      <c r="D6" s="351"/>
      <c r="E6" s="352"/>
      <c r="F6" s="358"/>
      <c r="G6" s="359"/>
      <c r="H6" s="358"/>
      <c r="I6" s="361"/>
      <c r="J6" s="351"/>
      <c r="K6" s="352"/>
      <c r="L6" s="358"/>
      <c r="M6" s="359"/>
      <c r="N6" s="358"/>
      <c r="O6" s="359"/>
      <c r="P6" s="351"/>
      <c r="Q6" s="352"/>
      <c r="R6" s="358"/>
      <c r="S6" s="361"/>
    </row>
    <row r="7" spans="1:19">
      <c r="A7" s="355"/>
      <c r="B7" s="92" t="s">
        <v>60</v>
      </c>
      <c r="C7" s="19" t="s">
        <v>1</v>
      </c>
      <c r="D7" s="18" t="s">
        <v>60</v>
      </c>
      <c r="E7" s="20" t="s">
        <v>1</v>
      </c>
      <c r="F7" s="18" t="s">
        <v>60</v>
      </c>
      <c r="G7" s="20" t="s">
        <v>1</v>
      </c>
      <c r="H7" s="178" t="s">
        <v>60</v>
      </c>
      <c r="I7" s="179" t="s">
        <v>1</v>
      </c>
      <c r="J7" s="178" t="s">
        <v>60</v>
      </c>
      <c r="K7" s="180" t="s">
        <v>1</v>
      </c>
      <c r="L7" s="178" t="s">
        <v>60</v>
      </c>
      <c r="M7" s="180" t="s">
        <v>1</v>
      </c>
      <c r="N7" s="18" t="s">
        <v>60</v>
      </c>
      <c r="O7" s="19" t="s">
        <v>1</v>
      </c>
      <c r="P7" s="18" t="s">
        <v>60</v>
      </c>
      <c r="Q7" s="20" t="s">
        <v>1</v>
      </c>
      <c r="R7" s="87" t="s">
        <v>60</v>
      </c>
      <c r="S7" s="20" t="s">
        <v>1</v>
      </c>
    </row>
    <row r="8" spans="1:19" s="23" customFormat="1">
      <c r="A8" s="59" t="s">
        <v>2</v>
      </c>
      <c r="B8" s="93">
        <f>SUM(B9:B13)</f>
        <v>157660062.73115963</v>
      </c>
      <c r="C8" s="130">
        <f>SUM(C9:C13)</f>
        <v>10.305402651675241</v>
      </c>
      <c r="D8" s="61">
        <f>F8*D$2</f>
        <v>52553354.243719876</v>
      </c>
      <c r="E8" s="65">
        <f t="shared" ref="E8:E13" si="0">+D8/D$83%</f>
        <v>10.305402648534837</v>
      </c>
      <c r="F8" s="61">
        <f t="shared" ref="F8:F13" si="1">$B8/(1-$D$2)</f>
        <v>210213416.9748795</v>
      </c>
      <c r="G8" s="65">
        <f t="shared" ref="G8:G13" si="2">+F8/F$83%</f>
        <v>10.305402648534837</v>
      </c>
      <c r="H8" s="181"/>
      <c r="I8" s="182"/>
      <c r="J8" s="183">
        <f t="shared" ref="J8:J38" si="3">L8*J$2</f>
        <v>0</v>
      </c>
      <c r="K8" s="184">
        <f>+J8/J$83%</f>
        <v>0</v>
      </c>
      <c r="L8" s="183">
        <f>H8/(1-$D$2)</f>
        <v>0</v>
      </c>
      <c r="M8" s="184">
        <f>+L8/L$83%</f>
        <v>0</v>
      </c>
      <c r="N8" s="61">
        <f t="shared" ref="N8:N51" si="4">B8+H8</f>
        <v>157660062.73115963</v>
      </c>
      <c r="O8" s="65">
        <f t="shared" ref="O8:O51" si="5">+N8/N$83%</f>
        <v>8.8363695073229565</v>
      </c>
      <c r="P8" s="61">
        <f t="shared" ref="P8:P13" si="6">J8+D8</f>
        <v>52553354.243719876</v>
      </c>
      <c r="Q8" s="65">
        <f t="shared" ref="Q8:Q13" si="7">+P8/P$83%</f>
        <v>8.8363695073229582</v>
      </c>
      <c r="R8" s="61">
        <f t="shared" ref="R8:R13" si="8">L8+F8</f>
        <v>210213416.9748795</v>
      </c>
      <c r="S8" s="65">
        <f t="shared" ref="S8:S13" si="9">+R8/R$83%</f>
        <v>8.8363695073229582</v>
      </c>
    </row>
    <row r="9" spans="1:19">
      <c r="A9" s="60" t="s">
        <v>3</v>
      </c>
      <c r="B9" s="94">
        <f>+C9*$B$85/100</f>
        <v>45896332.649999999</v>
      </c>
      <c r="C9" s="136">
        <v>3</v>
      </c>
      <c r="D9" s="67">
        <f t="shared" ref="D9:D38" si="10">F9*D$2</f>
        <v>15298777.549999999</v>
      </c>
      <c r="E9" s="68">
        <f t="shared" si="0"/>
        <v>2.9999999990857993</v>
      </c>
      <c r="F9" s="67">
        <f t="shared" si="1"/>
        <v>61195110.199999996</v>
      </c>
      <c r="G9" s="68">
        <f t="shared" si="2"/>
        <v>2.9999999990857993</v>
      </c>
      <c r="H9" s="185"/>
      <c r="I9" s="186"/>
      <c r="J9" s="187">
        <f t="shared" si="3"/>
        <v>0</v>
      </c>
      <c r="K9" s="186">
        <f>+J9/J$83%</f>
        <v>0</v>
      </c>
      <c r="L9" s="187">
        <f>H9/(1-$D$2)</f>
        <v>0</v>
      </c>
      <c r="M9" s="186">
        <f>+L9/L$83%</f>
        <v>0</v>
      </c>
      <c r="N9" s="67">
        <f t="shared" si="4"/>
        <v>45896332.649999999</v>
      </c>
      <c r="O9" s="68">
        <f t="shared" si="5"/>
        <v>2.57235058327969</v>
      </c>
      <c r="P9" s="67">
        <f t="shared" si="6"/>
        <v>15298777.549999999</v>
      </c>
      <c r="Q9" s="68">
        <f t="shared" si="7"/>
        <v>2.5723505832796905</v>
      </c>
      <c r="R9" s="67">
        <f t="shared" si="8"/>
        <v>61195110.199999996</v>
      </c>
      <c r="S9" s="68">
        <f t="shared" si="9"/>
        <v>2.5723505832796905</v>
      </c>
    </row>
    <row r="10" spans="1:19">
      <c r="A10" s="60" t="s">
        <v>169</v>
      </c>
      <c r="B10" s="94">
        <f>+C10*$B$85/100</f>
        <v>36717066.119999997</v>
      </c>
      <c r="C10" s="136">
        <v>2.4</v>
      </c>
      <c r="D10" s="67">
        <f t="shared" si="10"/>
        <v>12239022.039999999</v>
      </c>
      <c r="E10" s="68">
        <f t="shared" si="0"/>
        <v>2.3999999992686392</v>
      </c>
      <c r="F10" s="67">
        <f t="shared" si="1"/>
        <v>48956088.159999996</v>
      </c>
      <c r="G10" s="68">
        <f t="shared" si="2"/>
        <v>2.3999999992686392</v>
      </c>
      <c r="H10" s="185"/>
      <c r="I10" s="186"/>
      <c r="J10" s="187">
        <f t="shared" si="3"/>
        <v>0</v>
      </c>
      <c r="K10" s="186">
        <f>+J10/J$83%</f>
        <v>0</v>
      </c>
      <c r="L10" s="187">
        <f>H10/(1-$D$2)</f>
        <v>0</v>
      </c>
      <c r="M10" s="186">
        <f>+L10/L$83%</f>
        <v>0</v>
      </c>
      <c r="N10" s="67">
        <f t="shared" si="4"/>
        <v>36717066.119999997</v>
      </c>
      <c r="O10" s="68">
        <f t="shared" si="5"/>
        <v>2.057880466623752</v>
      </c>
      <c r="P10" s="67">
        <f t="shared" si="6"/>
        <v>12239022.039999999</v>
      </c>
      <c r="Q10" s="68">
        <f t="shared" si="7"/>
        <v>2.0578804666237525</v>
      </c>
      <c r="R10" s="67">
        <f t="shared" si="8"/>
        <v>48956088.159999996</v>
      </c>
      <c r="S10" s="68">
        <f t="shared" si="9"/>
        <v>2.0578804666237525</v>
      </c>
    </row>
    <row r="11" spans="1:19">
      <c r="A11" s="60" t="s">
        <v>170</v>
      </c>
      <c r="B11" s="94">
        <f>+C11*$B$85/100</f>
        <v>15298777.550000001</v>
      </c>
      <c r="C11" s="136">
        <v>1</v>
      </c>
      <c r="D11" s="67">
        <f t="shared" si="10"/>
        <v>5099592.5166666666</v>
      </c>
      <c r="E11" s="68">
        <f t="shared" si="0"/>
        <v>0.99999999969526643</v>
      </c>
      <c r="F11" s="67">
        <f t="shared" si="1"/>
        <v>20398370.066666666</v>
      </c>
      <c r="G11" s="68">
        <f t="shared" si="2"/>
        <v>0.99999999969526643</v>
      </c>
      <c r="H11" s="185"/>
      <c r="I11" s="186"/>
      <c r="J11" s="187">
        <f t="shared" si="3"/>
        <v>0</v>
      </c>
      <c r="K11" s="186">
        <f>+J11/J$83%</f>
        <v>0</v>
      </c>
      <c r="L11" s="187">
        <f>H11/(1-$D$2)</f>
        <v>0</v>
      </c>
      <c r="M11" s="186">
        <f>+L11/L$83%</f>
        <v>0</v>
      </c>
      <c r="N11" s="67">
        <f t="shared" si="4"/>
        <v>15298777.550000001</v>
      </c>
      <c r="O11" s="68">
        <f t="shared" si="5"/>
        <v>0.85745019442656345</v>
      </c>
      <c r="P11" s="67">
        <f t="shared" si="6"/>
        <v>5099592.5166666666</v>
      </c>
      <c r="Q11" s="68">
        <f t="shared" si="7"/>
        <v>0.85745019442656345</v>
      </c>
      <c r="R11" s="67">
        <f t="shared" si="8"/>
        <v>20398370.066666666</v>
      </c>
      <c r="S11" s="68">
        <f t="shared" si="9"/>
        <v>0.85745019442656345</v>
      </c>
    </row>
    <row r="12" spans="1:19" ht="28">
      <c r="A12" s="60" t="s">
        <v>171</v>
      </c>
      <c r="B12" s="94">
        <f>+C12*$B$85/100</f>
        <v>30597555.100000001</v>
      </c>
      <c r="C12" s="136">
        <v>2</v>
      </c>
      <c r="D12" s="67">
        <f t="shared" si="10"/>
        <v>10199185.033333333</v>
      </c>
      <c r="E12" s="68">
        <f t="shared" si="0"/>
        <v>1.9999999993905329</v>
      </c>
      <c r="F12" s="67">
        <f t="shared" si="1"/>
        <v>40796740.133333333</v>
      </c>
      <c r="G12" s="68">
        <f t="shared" si="2"/>
        <v>1.9999999993905329</v>
      </c>
      <c r="H12" s="185"/>
      <c r="I12" s="186"/>
      <c r="J12" s="187">
        <f t="shared" si="3"/>
        <v>0</v>
      </c>
      <c r="K12" s="186">
        <f>+J12/J$83%</f>
        <v>0</v>
      </c>
      <c r="L12" s="187">
        <f>H12/(1-$D$2)</f>
        <v>0</v>
      </c>
      <c r="M12" s="186">
        <f>+L12/L$83%</f>
        <v>0</v>
      </c>
      <c r="N12" s="67">
        <f t="shared" si="4"/>
        <v>30597555.100000001</v>
      </c>
      <c r="O12" s="68">
        <f t="shared" si="5"/>
        <v>1.7149003888531269</v>
      </c>
      <c r="P12" s="67">
        <f t="shared" si="6"/>
        <v>10199185.033333333</v>
      </c>
      <c r="Q12" s="68">
        <f t="shared" si="7"/>
        <v>1.7149003888531269</v>
      </c>
      <c r="R12" s="67">
        <f t="shared" si="8"/>
        <v>40796740.133333333</v>
      </c>
      <c r="S12" s="68">
        <f t="shared" si="9"/>
        <v>1.7149003888531269</v>
      </c>
    </row>
    <row r="13" spans="1:19">
      <c r="A13" s="100" t="s">
        <v>172</v>
      </c>
      <c r="B13" s="94">
        <f>+C13*$B$85/100</f>
        <v>29150331.311159629</v>
      </c>
      <c r="C13" s="136">
        <v>1.90540265167524</v>
      </c>
      <c r="D13" s="67">
        <f t="shared" ref="D13" si="11">F13*D$2</f>
        <v>9716777.1037198771</v>
      </c>
      <c r="E13" s="68">
        <f t="shared" si="0"/>
        <v>1.9054026510945998</v>
      </c>
      <c r="F13" s="67">
        <f t="shared" si="1"/>
        <v>38867108.414879508</v>
      </c>
      <c r="G13" s="68">
        <f t="shared" si="2"/>
        <v>1.9054026510945998</v>
      </c>
      <c r="H13" s="185"/>
      <c r="I13" s="186"/>
      <c r="J13" s="187"/>
      <c r="K13" s="186"/>
      <c r="L13" s="187"/>
      <c r="M13" s="186"/>
      <c r="N13" s="67">
        <f t="shared" si="4"/>
        <v>29150331.311159629</v>
      </c>
      <c r="O13" s="68">
        <f t="shared" si="5"/>
        <v>1.633787874139824</v>
      </c>
      <c r="P13" s="67">
        <f t="shared" si="6"/>
        <v>9716777.1037198771</v>
      </c>
      <c r="Q13" s="68">
        <f t="shared" si="7"/>
        <v>1.6337878741398242</v>
      </c>
      <c r="R13" s="67">
        <f t="shared" si="8"/>
        <v>38867108.414879508</v>
      </c>
      <c r="S13" s="68">
        <f t="shared" si="9"/>
        <v>1.6337878741398242</v>
      </c>
    </row>
    <row r="14" spans="1:19" s="23" customFormat="1" ht="28">
      <c r="A14" s="59" t="s">
        <v>4</v>
      </c>
      <c r="B14" s="93">
        <f>SUM(B15:B17)</f>
        <v>113221366.76682864</v>
      </c>
      <c r="C14" s="130">
        <f>SUM(C15:C17)</f>
        <v>7.4006806358739841</v>
      </c>
      <c r="D14" s="61">
        <f t="shared" si="10"/>
        <v>37740455.588942878</v>
      </c>
      <c r="E14" s="65">
        <f t="shared" ref="E14:E51" si="12">+D14/D$83%</f>
        <v>7.4006806336187489</v>
      </c>
      <c r="F14" s="61">
        <f t="shared" ref="F14:F51" si="13">$B14/(1-$D$2)</f>
        <v>150961822.35577151</v>
      </c>
      <c r="G14" s="65">
        <f t="shared" ref="G14:G51" si="14">+F14/F$83%</f>
        <v>7.4006806336187489</v>
      </c>
      <c r="H14" s="181"/>
      <c r="I14" s="182"/>
      <c r="J14" s="183">
        <f t="shared" si="3"/>
        <v>0</v>
      </c>
      <c r="K14" s="184">
        <f t="shared" ref="K14:K51" si="15">+J14/J$83%</f>
        <v>0</v>
      </c>
      <c r="L14" s="183">
        <f t="shared" ref="L14:L51" si="16">H14/(1-$D$2)</f>
        <v>0</v>
      </c>
      <c r="M14" s="184">
        <f t="shared" ref="M14:M51" si="17">+L14/L$83%</f>
        <v>0</v>
      </c>
      <c r="N14" s="61">
        <f t="shared" si="4"/>
        <v>113221366.76682864</v>
      </c>
      <c r="O14" s="65">
        <f t="shared" si="5"/>
        <v>6.3457150501190513</v>
      </c>
      <c r="P14" s="61">
        <f t="shared" ref="P14:P51" si="18">J14+D14</f>
        <v>37740455.588942878</v>
      </c>
      <c r="Q14" s="65">
        <f t="shared" ref="Q14:Q51" si="19">+P14/P$83%</f>
        <v>6.3457150501190513</v>
      </c>
      <c r="R14" s="61">
        <f t="shared" ref="R14:R51" si="20">L14+F14</f>
        <v>150961822.35577151</v>
      </c>
      <c r="S14" s="65">
        <f t="shared" ref="S14:S51" si="21">+R14/R$83%</f>
        <v>6.3457150501190513</v>
      </c>
    </row>
    <row r="15" spans="1:19" s="23" customFormat="1" ht="28">
      <c r="A15" s="60" t="s">
        <v>5</v>
      </c>
      <c r="B15" s="94">
        <f>+C15*$B$85/100</f>
        <v>90273200.441828638</v>
      </c>
      <c r="C15" s="136">
        <v>5.9006806358739841</v>
      </c>
      <c r="D15" s="67">
        <f t="shared" si="10"/>
        <v>30091066.813942879</v>
      </c>
      <c r="E15" s="68">
        <f t="shared" si="12"/>
        <v>5.9006806340758491</v>
      </c>
      <c r="F15" s="67">
        <f t="shared" si="13"/>
        <v>120364267.25577152</v>
      </c>
      <c r="G15" s="68">
        <f t="shared" si="14"/>
        <v>5.9006806340758491</v>
      </c>
      <c r="H15" s="185"/>
      <c r="I15" s="186"/>
      <c r="J15" s="187">
        <f t="shared" si="3"/>
        <v>0</v>
      </c>
      <c r="K15" s="186">
        <f t="shared" si="15"/>
        <v>0</v>
      </c>
      <c r="L15" s="187">
        <f t="shared" si="16"/>
        <v>0</v>
      </c>
      <c r="M15" s="186">
        <f t="shared" si="17"/>
        <v>0</v>
      </c>
      <c r="N15" s="67">
        <f t="shared" si="4"/>
        <v>90273200.441828638</v>
      </c>
      <c r="O15" s="68">
        <f t="shared" si="5"/>
        <v>5.0595397584792057</v>
      </c>
      <c r="P15" s="67">
        <f t="shared" si="18"/>
        <v>30091066.813942879</v>
      </c>
      <c r="Q15" s="68">
        <f t="shared" si="19"/>
        <v>5.0595397584792066</v>
      </c>
      <c r="R15" s="67">
        <f t="shared" si="20"/>
        <v>120364267.25577152</v>
      </c>
      <c r="S15" s="68">
        <f t="shared" si="21"/>
        <v>5.0595397584792066</v>
      </c>
    </row>
    <row r="16" spans="1:19">
      <c r="A16" s="60" t="s">
        <v>161</v>
      </c>
      <c r="B16" s="94">
        <f>+C16*$B$85/100</f>
        <v>15298777.550000001</v>
      </c>
      <c r="C16" s="136">
        <v>1</v>
      </c>
      <c r="D16" s="67">
        <f t="shared" si="10"/>
        <v>5099592.5166666666</v>
      </c>
      <c r="E16" s="68">
        <f t="shared" si="12"/>
        <v>0.99999999969526643</v>
      </c>
      <c r="F16" s="67">
        <f t="shared" si="13"/>
        <v>20398370.066666666</v>
      </c>
      <c r="G16" s="68">
        <f t="shared" si="14"/>
        <v>0.99999999969526643</v>
      </c>
      <c r="H16" s="185"/>
      <c r="I16" s="186"/>
      <c r="J16" s="187">
        <f t="shared" si="3"/>
        <v>0</v>
      </c>
      <c r="K16" s="186">
        <f t="shared" si="15"/>
        <v>0</v>
      </c>
      <c r="L16" s="187">
        <f t="shared" si="16"/>
        <v>0</v>
      </c>
      <c r="M16" s="186">
        <f t="shared" si="17"/>
        <v>0</v>
      </c>
      <c r="N16" s="67">
        <f t="shared" si="4"/>
        <v>15298777.550000001</v>
      </c>
      <c r="O16" s="68">
        <f t="shared" si="5"/>
        <v>0.85745019442656345</v>
      </c>
      <c r="P16" s="67">
        <f t="shared" si="18"/>
        <v>5099592.5166666666</v>
      </c>
      <c r="Q16" s="68">
        <f t="shared" si="19"/>
        <v>0.85745019442656345</v>
      </c>
      <c r="R16" s="67">
        <f t="shared" si="20"/>
        <v>20398370.066666666</v>
      </c>
      <c r="S16" s="68">
        <f t="shared" si="21"/>
        <v>0.85745019442656345</v>
      </c>
    </row>
    <row r="17" spans="1:19" ht="28">
      <c r="A17" s="60" t="s">
        <v>6</v>
      </c>
      <c r="B17" s="94">
        <f>+C17*$B$85/100</f>
        <v>7649388.7750000004</v>
      </c>
      <c r="C17" s="136">
        <v>0.5</v>
      </c>
      <c r="D17" s="67">
        <f t="shared" si="10"/>
        <v>2549796.2583333333</v>
      </c>
      <c r="E17" s="68">
        <f t="shared" si="12"/>
        <v>0.49999999984763321</v>
      </c>
      <c r="F17" s="67">
        <f t="shared" si="13"/>
        <v>10199185.033333333</v>
      </c>
      <c r="G17" s="68">
        <f t="shared" si="14"/>
        <v>0.49999999984763321</v>
      </c>
      <c r="H17" s="185"/>
      <c r="I17" s="186"/>
      <c r="J17" s="187">
        <f t="shared" si="3"/>
        <v>0</v>
      </c>
      <c r="K17" s="186">
        <f t="shared" si="15"/>
        <v>0</v>
      </c>
      <c r="L17" s="187">
        <f t="shared" si="16"/>
        <v>0</v>
      </c>
      <c r="M17" s="186">
        <f t="shared" si="17"/>
        <v>0</v>
      </c>
      <c r="N17" s="67">
        <f t="shared" si="4"/>
        <v>7649388.7750000004</v>
      </c>
      <c r="O17" s="68">
        <f t="shared" si="5"/>
        <v>0.42872509721328173</v>
      </c>
      <c r="P17" s="67">
        <f t="shared" si="18"/>
        <v>2549796.2583333333</v>
      </c>
      <c r="Q17" s="68">
        <f t="shared" si="19"/>
        <v>0.42872509721328173</v>
      </c>
      <c r="R17" s="67">
        <f t="shared" si="20"/>
        <v>10199185.033333333</v>
      </c>
      <c r="S17" s="68">
        <f t="shared" si="21"/>
        <v>0.42872509721328173</v>
      </c>
    </row>
    <row r="18" spans="1:19" s="23" customFormat="1" ht="28">
      <c r="A18" s="59" t="s">
        <v>158</v>
      </c>
      <c r="B18" s="93">
        <f>SUM(B19:B26)</f>
        <v>153454728.23323652</v>
      </c>
      <c r="C18" s="130">
        <f>SUM(C19:C26)</f>
        <v>10.030522225171939</v>
      </c>
      <c r="D18" s="61">
        <f t="shared" si="10"/>
        <v>51151576.077745505</v>
      </c>
      <c r="E18" s="65">
        <f t="shared" si="12"/>
        <v>10.030522222115303</v>
      </c>
      <c r="F18" s="61">
        <f t="shared" si="13"/>
        <v>204606304.31098202</v>
      </c>
      <c r="G18" s="65">
        <f t="shared" si="14"/>
        <v>10.030522222115303</v>
      </c>
      <c r="H18" s="181"/>
      <c r="I18" s="182"/>
      <c r="J18" s="183">
        <f t="shared" si="3"/>
        <v>0</v>
      </c>
      <c r="K18" s="184">
        <f t="shared" si="15"/>
        <v>0</v>
      </c>
      <c r="L18" s="183">
        <f t="shared" si="16"/>
        <v>0</v>
      </c>
      <c r="M18" s="184">
        <f t="shared" si="17"/>
        <v>0</v>
      </c>
      <c r="N18" s="61">
        <f t="shared" si="4"/>
        <v>153454728.23323652</v>
      </c>
      <c r="O18" s="65">
        <f t="shared" si="5"/>
        <v>8.6006732321736461</v>
      </c>
      <c r="P18" s="61">
        <f t="shared" si="18"/>
        <v>51151576.077745505</v>
      </c>
      <c r="Q18" s="65">
        <f t="shared" si="19"/>
        <v>8.6006732321736461</v>
      </c>
      <c r="R18" s="61">
        <f t="shared" si="20"/>
        <v>204606304.31098202</v>
      </c>
      <c r="S18" s="65">
        <f t="shared" si="21"/>
        <v>8.6006732321736461</v>
      </c>
    </row>
    <row r="19" spans="1:19">
      <c r="A19" s="60" t="s">
        <v>7</v>
      </c>
      <c r="B19" s="94">
        <f t="shared" ref="B19:B26" si="22">+C19*$B$85/100</f>
        <v>29067677.344999999</v>
      </c>
      <c r="C19" s="136">
        <f>2.15-0.25</f>
        <v>1.9</v>
      </c>
      <c r="D19" s="67">
        <f t="shared" si="10"/>
        <v>9689225.7816666663</v>
      </c>
      <c r="E19" s="68">
        <f t="shared" si="12"/>
        <v>1.8999999994210062</v>
      </c>
      <c r="F19" s="67">
        <f t="shared" si="13"/>
        <v>38756903.126666665</v>
      </c>
      <c r="G19" s="68">
        <f t="shared" si="14"/>
        <v>1.8999999994210062</v>
      </c>
      <c r="H19" s="185"/>
      <c r="I19" s="186"/>
      <c r="J19" s="187">
        <f t="shared" si="3"/>
        <v>0</v>
      </c>
      <c r="K19" s="186">
        <f t="shared" si="15"/>
        <v>0</v>
      </c>
      <c r="L19" s="187">
        <f t="shared" si="16"/>
        <v>0</v>
      </c>
      <c r="M19" s="186">
        <f t="shared" si="17"/>
        <v>0</v>
      </c>
      <c r="N19" s="67">
        <f t="shared" si="4"/>
        <v>29067677.344999999</v>
      </c>
      <c r="O19" s="68">
        <f t="shared" si="5"/>
        <v>1.6291553694104703</v>
      </c>
      <c r="P19" s="67">
        <f t="shared" si="18"/>
        <v>9689225.7816666663</v>
      </c>
      <c r="Q19" s="68">
        <f t="shared" si="19"/>
        <v>1.6291553694104706</v>
      </c>
      <c r="R19" s="67">
        <f t="shared" si="20"/>
        <v>38756903.126666665</v>
      </c>
      <c r="S19" s="68">
        <f t="shared" si="21"/>
        <v>1.6291553694104706</v>
      </c>
    </row>
    <row r="20" spans="1:19" ht="28">
      <c r="A20" s="60" t="s">
        <v>8</v>
      </c>
      <c r="B20" s="94">
        <f t="shared" si="22"/>
        <v>0</v>
      </c>
      <c r="C20" s="139">
        <v>0</v>
      </c>
      <c r="D20" s="67">
        <f t="shared" si="10"/>
        <v>0</v>
      </c>
      <c r="E20" s="69">
        <f t="shared" si="12"/>
        <v>0</v>
      </c>
      <c r="F20" s="67">
        <f t="shared" si="13"/>
        <v>0</v>
      </c>
      <c r="G20" s="69">
        <f t="shared" si="14"/>
        <v>0</v>
      </c>
      <c r="H20" s="185"/>
      <c r="I20" s="188"/>
      <c r="J20" s="187">
        <f t="shared" si="3"/>
        <v>0</v>
      </c>
      <c r="K20" s="188">
        <f t="shared" si="15"/>
        <v>0</v>
      </c>
      <c r="L20" s="187">
        <f t="shared" si="16"/>
        <v>0</v>
      </c>
      <c r="M20" s="188">
        <f t="shared" si="17"/>
        <v>0</v>
      </c>
      <c r="N20" s="67">
        <f t="shared" si="4"/>
        <v>0</v>
      </c>
      <c r="O20" s="69">
        <f t="shared" si="5"/>
        <v>0</v>
      </c>
      <c r="P20" s="67">
        <f t="shared" si="18"/>
        <v>0</v>
      </c>
      <c r="Q20" s="69">
        <f t="shared" si="19"/>
        <v>0</v>
      </c>
      <c r="R20" s="67">
        <f t="shared" si="20"/>
        <v>0</v>
      </c>
      <c r="S20" s="69">
        <f t="shared" si="21"/>
        <v>0</v>
      </c>
    </row>
    <row r="21" spans="1:19">
      <c r="A21" s="60" t="s">
        <v>9</v>
      </c>
      <c r="B21" s="94">
        <f t="shared" si="22"/>
        <v>38246943.875</v>
      </c>
      <c r="C21" s="136">
        <v>2.5</v>
      </c>
      <c r="D21" s="67">
        <f t="shared" si="10"/>
        <v>12748981.291666666</v>
      </c>
      <c r="E21" s="68">
        <f t="shared" si="12"/>
        <v>2.4999999992381658</v>
      </c>
      <c r="F21" s="67">
        <f t="shared" si="13"/>
        <v>50995925.166666664</v>
      </c>
      <c r="G21" s="68">
        <f t="shared" si="14"/>
        <v>2.4999999992381658</v>
      </c>
      <c r="H21" s="185"/>
      <c r="I21" s="186"/>
      <c r="J21" s="187">
        <f t="shared" si="3"/>
        <v>0</v>
      </c>
      <c r="K21" s="186">
        <f t="shared" si="15"/>
        <v>0</v>
      </c>
      <c r="L21" s="187">
        <f t="shared" si="16"/>
        <v>0</v>
      </c>
      <c r="M21" s="186">
        <f t="shared" si="17"/>
        <v>0</v>
      </c>
      <c r="N21" s="67">
        <f t="shared" si="4"/>
        <v>38246943.875</v>
      </c>
      <c r="O21" s="68">
        <f t="shared" si="5"/>
        <v>2.1436254860664086</v>
      </c>
      <c r="P21" s="67">
        <f t="shared" si="18"/>
        <v>12748981.291666666</v>
      </c>
      <c r="Q21" s="68">
        <f t="shared" si="19"/>
        <v>2.1436254860664086</v>
      </c>
      <c r="R21" s="67">
        <f t="shared" si="20"/>
        <v>50995925.166666664</v>
      </c>
      <c r="S21" s="68">
        <f t="shared" si="21"/>
        <v>2.1436254860664086</v>
      </c>
    </row>
    <row r="22" spans="1:19">
      <c r="A22" s="60" t="s">
        <v>10</v>
      </c>
      <c r="B22" s="94">
        <f t="shared" si="22"/>
        <v>9179266.5299999993</v>
      </c>
      <c r="C22" s="136">
        <v>0.6</v>
      </c>
      <c r="D22" s="67">
        <f t="shared" si="10"/>
        <v>3059755.51</v>
      </c>
      <c r="E22" s="68">
        <f t="shared" si="12"/>
        <v>0.59999999981715979</v>
      </c>
      <c r="F22" s="67">
        <f t="shared" si="13"/>
        <v>12239022.039999999</v>
      </c>
      <c r="G22" s="68">
        <f t="shared" si="14"/>
        <v>0.59999999981715979</v>
      </c>
      <c r="H22" s="185"/>
      <c r="I22" s="186"/>
      <c r="J22" s="187">
        <f t="shared" si="3"/>
        <v>0</v>
      </c>
      <c r="K22" s="186">
        <f t="shared" si="15"/>
        <v>0</v>
      </c>
      <c r="L22" s="187">
        <f t="shared" si="16"/>
        <v>0</v>
      </c>
      <c r="M22" s="186">
        <f t="shared" si="17"/>
        <v>0</v>
      </c>
      <c r="N22" s="67">
        <f t="shared" si="4"/>
        <v>9179266.5299999993</v>
      </c>
      <c r="O22" s="68">
        <f t="shared" si="5"/>
        <v>0.514470116655938</v>
      </c>
      <c r="P22" s="67">
        <f t="shared" si="18"/>
        <v>3059755.51</v>
      </c>
      <c r="Q22" s="68">
        <f t="shared" si="19"/>
        <v>0.51447011665593811</v>
      </c>
      <c r="R22" s="67">
        <f t="shared" si="20"/>
        <v>12239022.039999999</v>
      </c>
      <c r="S22" s="68">
        <f t="shared" si="21"/>
        <v>0.51447011665593811</v>
      </c>
    </row>
    <row r="23" spans="1:19">
      <c r="A23" s="60" t="s">
        <v>11</v>
      </c>
      <c r="B23" s="94">
        <f t="shared" si="22"/>
        <v>25115110.110099431</v>
      </c>
      <c r="C23" s="136">
        <v>1.6416416297326599</v>
      </c>
      <c r="D23" s="67">
        <f t="shared" si="10"/>
        <v>8371703.370033144</v>
      </c>
      <c r="E23" s="68">
        <f t="shared" si="12"/>
        <v>1.6416416292323968</v>
      </c>
      <c r="F23" s="67">
        <f t="shared" si="13"/>
        <v>33486813.480132576</v>
      </c>
      <c r="G23" s="68">
        <f t="shared" si="14"/>
        <v>1.6416416292323968</v>
      </c>
      <c r="H23" s="185"/>
      <c r="I23" s="186"/>
      <c r="J23" s="187">
        <f t="shared" si="3"/>
        <v>0</v>
      </c>
      <c r="K23" s="186">
        <f t="shared" si="15"/>
        <v>0</v>
      </c>
      <c r="L23" s="187">
        <f t="shared" si="16"/>
        <v>0</v>
      </c>
      <c r="M23" s="186">
        <f t="shared" si="17"/>
        <v>0</v>
      </c>
      <c r="N23" s="67">
        <f t="shared" si="4"/>
        <v>25115110.110099431</v>
      </c>
      <c r="O23" s="68">
        <f t="shared" si="5"/>
        <v>1.4076259345930098</v>
      </c>
      <c r="P23" s="67">
        <f t="shared" si="18"/>
        <v>8371703.370033144</v>
      </c>
      <c r="Q23" s="68">
        <f t="shared" si="19"/>
        <v>1.40762593459301</v>
      </c>
      <c r="R23" s="67">
        <f t="shared" si="20"/>
        <v>33486813.480132576</v>
      </c>
      <c r="S23" s="68">
        <f t="shared" si="21"/>
        <v>1.40762593459301</v>
      </c>
    </row>
    <row r="24" spans="1:19" ht="28">
      <c r="A24" s="60" t="s">
        <v>12</v>
      </c>
      <c r="B24" s="94">
        <f t="shared" si="22"/>
        <v>29723698.035837088</v>
      </c>
      <c r="C24" s="136">
        <f>2.19288059543928-0.25</f>
        <v>1.9428805954392798</v>
      </c>
      <c r="D24" s="67">
        <f t="shared" si="10"/>
        <v>9907899.3452790286</v>
      </c>
      <c r="E24" s="68">
        <f t="shared" si="12"/>
        <v>1.942880594847219</v>
      </c>
      <c r="F24" s="67">
        <f t="shared" si="13"/>
        <v>39631597.381116115</v>
      </c>
      <c r="G24" s="68">
        <f t="shared" si="14"/>
        <v>1.942880594847219</v>
      </c>
      <c r="H24" s="185"/>
      <c r="I24" s="186"/>
      <c r="J24" s="187">
        <f t="shared" si="3"/>
        <v>0</v>
      </c>
      <c r="K24" s="186">
        <f t="shared" si="15"/>
        <v>0</v>
      </c>
      <c r="L24" s="187">
        <f t="shared" si="16"/>
        <v>0</v>
      </c>
      <c r="M24" s="186">
        <f t="shared" si="17"/>
        <v>0</v>
      </c>
      <c r="N24" s="67">
        <f t="shared" si="4"/>
        <v>29723698.035837088</v>
      </c>
      <c r="O24" s="68">
        <f t="shared" si="5"/>
        <v>1.6659233443070078</v>
      </c>
      <c r="P24" s="67">
        <f t="shared" si="18"/>
        <v>9907899.3452790286</v>
      </c>
      <c r="Q24" s="68">
        <f t="shared" si="19"/>
        <v>1.6659233443070078</v>
      </c>
      <c r="R24" s="67">
        <f t="shared" si="20"/>
        <v>39631597.381116115</v>
      </c>
      <c r="S24" s="68">
        <f t="shared" si="21"/>
        <v>1.6659233443070078</v>
      </c>
    </row>
    <row r="25" spans="1:19">
      <c r="A25" s="60" t="s">
        <v>13</v>
      </c>
      <c r="B25" s="94">
        <f t="shared" si="22"/>
        <v>22122032.337299999</v>
      </c>
      <c r="C25" s="136">
        <v>1.446</v>
      </c>
      <c r="D25" s="67">
        <f t="shared" si="10"/>
        <v>7374010.7790999999</v>
      </c>
      <c r="E25" s="68">
        <f t="shared" si="12"/>
        <v>1.4459999995593553</v>
      </c>
      <c r="F25" s="67">
        <f t="shared" si="13"/>
        <v>29496043.1164</v>
      </c>
      <c r="G25" s="68">
        <f t="shared" si="14"/>
        <v>1.4459999995593553</v>
      </c>
      <c r="H25" s="185"/>
      <c r="I25" s="186"/>
      <c r="J25" s="187">
        <f t="shared" si="3"/>
        <v>0</v>
      </c>
      <c r="K25" s="186">
        <f t="shared" si="15"/>
        <v>0</v>
      </c>
      <c r="L25" s="187">
        <f t="shared" si="16"/>
        <v>0</v>
      </c>
      <c r="M25" s="186">
        <f t="shared" si="17"/>
        <v>0</v>
      </c>
      <c r="N25" s="67">
        <f t="shared" si="4"/>
        <v>22122032.337299999</v>
      </c>
      <c r="O25" s="68">
        <f t="shared" si="5"/>
        <v>1.2398729811408107</v>
      </c>
      <c r="P25" s="67">
        <f t="shared" si="18"/>
        <v>7374010.7790999999</v>
      </c>
      <c r="Q25" s="68">
        <f t="shared" si="19"/>
        <v>1.2398729811408109</v>
      </c>
      <c r="R25" s="67">
        <f t="shared" si="20"/>
        <v>29496043.1164</v>
      </c>
      <c r="S25" s="68">
        <f t="shared" si="21"/>
        <v>1.2398729811408109</v>
      </c>
    </row>
    <row r="26" spans="1:19">
      <c r="A26" s="60" t="s">
        <v>14</v>
      </c>
      <c r="B26" s="94">
        <f t="shared" si="22"/>
        <v>0</v>
      </c>
      <c r="C26" s="142"/>
      <c r="D26" s="67">
        <f t="shared" si="10"/>
        <v>0</v>
      </c>
      <c r="E26" s="70">
        <f t="shared" si="12"/>
        <v>0</v>
      </c>
      <c r="F26" s="67">
        <f t="shared" si="13"/>
        <v>0</v>
      </c>
      <c r="G26" s="70">
        <f t="shared" si="14"/>
        <v>0</v>
      </c>
      <c r="H26" s="189"/>
      <c r="I26" s="190"/>
      <c r="J26" s="187">
        <f t="shared" si="3"/>
        <v>0</v>
      </c>
      <c r="K26" s="190">
        <f t="shared" si="15"/>
        <v>0</v>
      </c>
      <c r="L26" s="187">
        <f t="shared" si="16"/>
        <v>0</v>
      </c>
      <c r="M26" s="190">
        <f t="shared" si="17"/>
        <v>0</v>
      </c>
      <c r="N26" s="67">
        <f t="shared" si="4"/>
        <v>0</v>
      </c>
      <c r="O26" s="70">
        <f t="shared" si="5"/>
        <v>0</v>
      </c>
      <c r="P26" s="67">
        <f t="shared" si="18"/>
        <v>0</v>
      </c>
      <c r="Q26" s="70">
        <f t="shared" si="19"/>
        <v>0</v>
      </c>
      <c r="R26" s="67">
        <f t="shared" si="20"/>
        <v>0</v>
      </c>
      <c r="S26" s="70">
        <f t="shared" si="21"/>
        <v>0</v>
      </c>
    </row>
    <row r="27" spans="1:19" s="23" customFormat="1" ht="28">
      <c r="A27" s="59" t="s">
        <v>15</v>
      </c>
      <c r="B27" s="93">
        <f>SUM(B28:B33)</f>
        <v>351694524.11367857</v>
      </c>
      <c r="C27" s="130">
        <f>SUM(C28:C33)</f>
        <v>22.988406947173281</v>
      </c>
      <c r="D27" s="61">
        <f t="shared" si="10"/>
        <v>117231508.03789286</v>
      </c>
      <c r="E27" s="65">
        <f t="shared" si="12"/>
        <v>22.988406940167941</v>
      </c>
      <c r="F27" s="61">
        <f t="shared" si="13"/>
        <v>468926032.15157145</v>
      </c>
      <c r="G27" s="65">
        <f t="shared" si="14"/>
        <v>22.988406940167941</v>
      </c>
      <c r="H27" s="181"/>
      <c r="I27" s="182"/>
      <c r="J27" s="183">
        <f t="shared" si="3"/>
        <v>0</v>
      </c>
      <c r="K27" s="184">
        <f t="shared" si="15"/>
        <v>0</v>
      </c>
      <c r="L27" s="183">
        <f t="shared" si="16"/>
        <v>0</v>
      </c>
      <c r="M27" s="184">
        <f t="shared" si="17"/>
        <v>0</v>
      </c>
      <c r="N27" s="61">
        <f t="shared" si="4"/>
        <v>351694524.11367857</v>
      </c>
      <c r="O27" s="65">
        <f t="shared" si="5"/>
        <v>19.711414006410688</v>
      </c>
      <c r="P27" s="61">
        <f t="shared" si="18"/>
        <v>117231508.03789286</v>
      </c>
      <c r="Q27" s="65">
        <f t="shared" si="19"/>
        <v>19.711414006410692</v>
      </c>
      <c r="R27" s="61">
        <f t="shared" si="20"/>
        <v>468926032.15157145</v>
      </c>
      <c r="S27" s="65">
        <f t="shared" si="21"/>
        <v>19.711414006410692</v>
      </c>
    </row>
    <row r="28" spans="1:19" ht="28">
      <c r="A28" s="60" t="s">
        <v>16</v>
      </c>
      <c r="B28" s="94">
        <f>+C28*$B$85/100</f>
        <v>127337951.0140049</v>
      </c>
      <c r="C28" s="136">
        <f>6.92340692567328+0.2+1+0.4+0.3-0.5</f>
        <v>8.3234069256732806</v>
      </c>
      <c r="D28" s="67">
        <f t="shared" si="10"/>
        <v>42445983.671334967</v>
      </c>
      <c r="E28" s="68">
        <f t="shared" si="12"/>
        <v>8.3234069231368597</v>
      </c>
      <c r="F28" s="67">
        <f t="shared" si="13"/>
        <v>169783934.68533987</v>
      </c>
      <c r="G28" s="68">
        <f t="shared" si="14"/>
        <v>8.3234069231368597</v>
      </c>
      <c r="H28" s="185"/>
      <c r="I28" s="186"/>
      <c r="J28" s="187">
        <f t="shared" si="3"/>
        <v>0</v>
      </c>
      <c r="K28" s="186">
        <f t="shared" si="15"/>
        <v>0</v>
      </c>
      <c r="L28" s="187">
        <f t="shared" si="16"/>
        <v>0</v>
      </c>
      <c r="M28" s="186">
        <f t="shared" si="17"/>
        <v>0</v>
      </c>
      <c r="N28" s="67">
        <f t="shared" si="4"/>
        <v>127337951.0140049</v>
      </c>
      <c r="O28" s="68">
        <f t="shared" si="5"/>
        <v>7.1369068867099585</v>
      </c>
      <c r="P28" s="67">
        <f t="shared" si="18"/>
        <v>42445983.671334967</v>
      </c>
      <c r="Q28" s="68">
        <f t="shared" si="19"/>
        <v>7.1369068867099594</v>
      </c>
      <c r="R28" s="67">
        <f t="shared" si="20"/>
        <v>169783934.68533987</v>
      </c>
      <c r="S28" s="68">
        <f t="shared" si="21"/>
        <v>7.1369068867099594</v>
      </c>
    </row>
    <row r="29" spans="1:19">
      <c r="A29" s="60" t="s">
        <v>17</v>
      </c>
      <c r="B29" s="94">
        <f t="shared" ref="B29:B33" si="23">+C29*$B$85/100</f>
        <v>0</v>
      </c>
      <c r="C29" s="136"/>
      <c r="D29" s="67">
        <f t="shared" si="10"/>
        <v>0</v>
      </c>
      <c r="E29" s="68">
        <f t="shared" si="12"/>
        <v>0</v>
      </c>
      <c r="F29" s="67">
        <f t="shared" si="13"/>
        <v>0</v>
      </c>
      <c r="G29" s="68">
        <f t="shared" si="14"/>
        <v>0</v>
      </c>
      <c r="H29" s="185"/>
      <c r="I29" s="186"/>
      <c r="J29" s="187">
        <f t="shared" si="3"/>
        <v>0</v>
      </c>
      <c r="K29" s="186">
        <f t="shared" si="15"/>
        <v>0</v>
      </c>
      <c r="L29" s="187">
        <f t="shared" si="16"/>
        <v>0</v>
      </c>
      <c r="M29" s="186">
        <f t="shared" si="17"/>
        <v>0</v>
      </c>
      <c r="N29" s="67">
        <f t="shared" si="4"/>
        <v>0</v>
      </c>
      <c r="O29" s="68">
        <f t="shared" si="5"/>
        <v>0</v>
      </c>
      <c r="P29" s="67">
        <f t="shared" si="18"/>
        <v>0</v>
      </c>
      <c r="Q29" s="68">
        <f t="shared" si="19"/>
        <v>0</v>
      </c>
      <c r="R29" s="67">
        <f t="shared" si="20"/>
        <v>0</v>
      </c>
      <c r="S29" s="68">
        <f t="shared" si="21"/>
        <v>0</v>
      </c>
    </row>
    <row r="30" spans="1:19" ht="28">
      <c r="A30" s="60" t="s">
        <v>18</v>
      </c>
      <c r="B30" s="94">
        <f t="shared" si="23"/>
        <v>0</v>
      </c>
      <c r="C30" s="136"/>
      <c r="D30" s="67">
        <f t="shared" si="10"/>
        <v>0</v>
      </c>
      <c r="E30" s="68">
        <f t="shared" si="12"/>
        <v>0</v>
      </c>
      <c r="F30" s="67">
        <f t="shared" si="13"/>
        <v>0</v>
      </c>
      <c r="G30" s="68">
        <f t="shared" si="14"/>
        <v>0</v>
      </c>
      <c r="H30" s="185"/>
      <c r="I30" s="186"/>
      <c r="J30" s="187">
        <f t="shared" si="3"/>
        <v>0</v>
      </c>
      <c r="K30" s="186">
        <f t="shared" si="15"/>
        <v>0</v>
      </c>
      <c r="L30" s="187">
        <f t="shared" si="16"/>
        <v>0</v>
      </c>
      <c r="M30" s="186">
        <f t="shared" si="17"/>
        <v>0</v>
      </c>
      <c r="N30" s="67">
        <f t="shared" si="4"/>
        <v>0</v>
      </c>
      <c r="O30" s="68">
        <f t="shared" si="5"/>
        <v>0</v>
      </c>
      <c r="P30" s="67">
        <f t="shared" si="18"/>
        <v>0</v>
      </c>
      <c r="Q30" s="68">
        <f t="shared" si="19"/>
        <v>0</v>
      </c>
      <c r="R30" s="67">
        <f t="shared" si="20"/>
        <v>0</v>
      </c>
      <c r="S30" s="68">
        <f t="shared" si="21"/>
        <v>0</v>
      </c>
    </row>
    <row r="31" spans="1:19" ht="28">
      <c r="A31" s="60" t="s">
        <v>19</v>
      </c>
      <c r="B31" s="94">
        <f t="shared" si="23"/>
        <v>0</v>
      </c>
      <c r="C31" s="139">
        <v>0</v>
      </c>
      <c r="D31" s="67">
        <f t="shared" si="10"/>
        <v>0</v>
      </c>
      <c r="E31" s="69">
        <f t="shared" si="12"/>
        <v>0</v>
      </c>
      <c r="F31" s="67">
        <f t="shared" si="13"/>
        <v>0</v>
      </c>
      <c r="G31" s="69">
        <f t="shared" si="14"/>
        <v>0</v>
      </c>
      <c r="H31" s="191"/>
      <c r="I31" s="188"/>
      <c r="J31" s="187">
        <f t="shared" si="3"/>
        <v>0</v>
      </c>
      <c r="K31" s="188">
        <f t="shared" si="15"/>
        <v>0</v>
      </c>
      <c r="L31" s="187">
        <f t="shared" si="16"/>
        <v>0</v>
      </c>
      <c r="M31" s="188">
        <f t="shared" si="17"/>
        <v>0</v>
      </c>
      <c r="N31" s="67">
        <f t="shared" si="4"/>
        <v>0</v>
      </c>
      <c r="O31" s="69">
        <f t="shared" si="5"/>
        <v>0</v>
      </c>
      <c r="P31" s="67">
        <f t="shared" si="18"/>
        <v>0</v>
      </c>
      <c r="Q31" s="69">
        <f t="shared" si="19"/>
        <v>0</v>
      </c>
      <c r="R31" s="67">
        <f t="shared" si="20"/>
        <v>0</v>
      </c>
      <c r="S31" s="69">
        <f t="shared" si="21"/>
        <v>0</v>
      </c>
    </row>
    <row r="32" spans="1:19">
      <c r="A32" s="60" t="s">
        <v>20</v>
      </c>
      <c r="B32" s="94">
        <f t="shared" si="23"/>
        <v>0</v>
      </c>
      <c r="C32" s="139">
        <v>0</v>
      </c>
      <c r="D32" s="67">
        <f t="shared" si="10"/>
        <v>0</v>
      </c>
      <c r="E32" s="69">
        <f t="shared" si="12"/>
        <v>0</v>
      </c>
      <c r="F32" s="67">
        <f t="shared" si="13"/>
        <v>0</v>
      </c>
      <c r="G32" s="69">
        <f t="shared" si="14"/>
        <v>0</v>
      </c>
      <c r="H32" s="191"/>
      <c r="I32" s="188"/>
      <c r="J32" s="187">
        <f t="shared" si="3"/>
        <v>0</v>
      </c>
      <c r="K32" s="188">
        <f t="shared" si="15"/>
        <v>0</v>
      </c>
      <c r="L32" s="187">
        <f t="shared" si="16"/>
        <v>0</v>
      </c>
      <c r="M32" s="188">
        <f t="shared" si="17"/>
        <v>0</v>
      </c>
      <c r="N32" s="67">
        <f t="shared" si="4"/>
        <v>0</v>
      </c>
      <c r="O32" s="69">
        <f t="shared" si="5"/>
        <v>0</v>
      </c>
      <c r="P32" s="67">
        <f t="shared" si="18"/>
        <v>0</v>
      </c>
      <c r="Q32" s="69">
        <f t="shared" si="19"/>
        <v>0</v>
      </c>
      <c r="R32" s="67">
        <f t="shared" si="20"/>
        <v>0</v>
      </c>
      <c r="S32" s="69">
        <f t="shared" si="21"/>
        <v>0</v>
      </c>
    </row>
    <row r="33" spans="1:19">
      <c r="A33" s="60" t="s">
        <v>21</v>
      </c>
      <c r="B33" s="94">
        <f t="shared" si="23"/>
        <v>224356573.09967369</v>
      </c>
      <c r="C33" s="136">
        <f>12.6650000215+2</f>
        <v>14.665000021499999</v>
      </c>
      <c r="D33" s="67">
        <f t="shared" si="10"/>
        <v>74785524.366557896</v>
      </c>
      <c r="E33" s="68">
        <f t="shared" si="12"/>
        <v>14.665000017031081</v>
      </c>
      <c r="F33" s="67">
        <f t="shared" si="13"/>
        <v>299142097.46623158</v>
      </c>
      <c r="G33" s="68">
        <f t="shared" si="14"/>
        <v>14.665000017031081</v>
      </c>
      <c r="H33" s="185"/>
      <c r="I33" s="186"/>
      <c r="J33" s="187">
        <f t="shared" si="3"/>
        <v>0</v>
      </c>
      <c r="K33" s="186">
        <f t="shared" si="15"/>
        <v>0</v>
      </c>
      <c r="L33" s="187">
        <f t="shared" si="16"/>
        <v>0</v>
      </c>
      <c r="M33" s="186">
        <f t="shared" si="17"/>
        <v>0</v>
      </c>
      <c r="N33" s="67">
        <f t="shared" si="4"/>
        <v>224356573.09967369</v>
      </c>
      <c r="O33" s="68">
        <f t="shared" si="5"/>
        <v>12.57450711970073</v>
      </c>
      <c r="P33" s="67">
        <f t="shared" si="18"/>
        <v>74785524.366557896</v>
      </c>
      <c r="Q33" s="68">
        <f t="shared" si="19"/>
        <v>12.574507119700732</v>
      </c>
      <c r="R33" s="67">
        <f t="shared" si="20"/>
        <v>299142097.46623158</v>
      </c>
      <c r="S33" s="68">
        <f t="shared" si="21"/>
        <v>12.574507119700732</v>
      </c>
    </row>
    <row r="34" spans="1:19" s="23" customFormat="1" ht="28">
      <c r="A34" s="59" t="s">
        <v>22</v>
      </c>
      <c r="B34" s="93">
        <f>SUM(B35:B37)</f>
        <v>70409581.075260013</v>
      </c>
      <c r="C34" s="130">
        <f>SUM(C35:C37)</f>
        <v>4.60230112145529</v>
      </c>
      <c r="D34" s="61">
        <f t="shared" si="10"/>
        <v>23469860.358420003</v>
      </c>
      <c r="E34" s="65">
        <f t="shared" si="12"/>
        <v>4.6023011200528146</v>
      </c>
      <c r="F34" s="61">
        <f t="shared" si="13"/>
        <v>93879441.433680013</v>
      </c>
      <c r="G34" s="65">
        <f t="shared" si="14"/>
        <v>4.6023011200528146</v>
      </c>
      <c r="H34" s="181"/>
      <c r="I34" s="182"/>
      <c r="J34" s="183">
        <f t="shared" si="3"/>
        <v>0</v>
      </c>
      <c r="K34" s="184">
        <f t="shared" si="15"/>
        <v>0</v>
      </c>
      <c r="L34" s="183">
        <f t="shared" si="16"/>
        <v>0</v>
      </c>
      <c r="M34" s="184">
        <f t="shared" si="17"/>
        <v>0</v>
      </c>
      <c r="N34" s="61">
        <f t="shared" si="4"/>
        <v>70409581.075260013</v>
      </c>
      <c r="O34" s="65">
        <f t="shared" si="5"/>
        <v>3.9462439914014293</v>
      </c>
      <c r="P34" s="61">
        <f t="shared" si="18"/>
        <v>23469860.358420003</v>
      </c>
      <c r="Q34" s="65">
        <f t="shared" si="19"/>
        <v>3.9462439914014293</v>
      </c>
      <c r="R34" s="61">
        <f t="shared" si="20"/>
        <v>93879441.433680013</v>
      </c>
      <c r="S34" s="65">
        <f t="shared" si="21"/>
        <v>3.9462439914014293</v>
      </c>
    </row>
    <row r="35" spans="1:19">
      <c r="A35" s="60" t="s">
        <v>23</v>
      </c>
      <c r="B35" s="94">
        <f>+C35*$B$85/100</f>
        <v>67961776.667260006</v>
      </c>
      <c r="C35" s="136">
        <v>4.4423011214552899</v>
      </c>
      <c r="D35" s="67">
        <f t="shared" si="10"/>
        <v>22653925.555753335</v>
      </c>
      <c r="E35" s="68">
        <f t="shared" si="12"/>
        <v>4.442301120101571</v>
      </c>
      <c r="F35" s="67">
        <f t="shared" si="13"/>
        <v>90615702.223013341</v>
      </c>
      <c r="G35" s="68">
        <f t="shared" si="14"/>
        <v>4.442301120101571</v>
      </c>
      <c r="H35" s="185"/>
      <c r="I35" s="186"/>
      <c r="J35" s="187">
        <f t="shared" si="3"/>
        <v>0</v>
      </c>
      <c r="K35" s="186">
        <f t="shared" si="15"/>
        <v>0</v>
      </c>
      <c r="L35" s="187">
        <f t="shared" si="16"/>
        <v>0</v>
      </c>
      <c r="M35" s="186">
        <f t="shared" si="17"/>
        <v>0</v>
      </c>
      <c r="N35" s="67">
        <f t="shared" si="4"/>
        <v>67961776.667260006</v>
      </c>
      <c r="O35" s="68">
        <f t="shared" si="5"/>
        <v>3.8090519602931785</v>
      </c>
      <c r="P35" s="67">
        <f t="shared" si="18"/>
        <v>22653925.555753335</v>
      </c>
      <c r="Q35" s="68">
        <f t="shared" si="19"/>
        <v>3.8090519602931789</v>
      </c>
      <c r="R35" s="67">
        <f t="shared" si="20"/>
        <v>90615702.223013341</v>
      </c>
      <c r="S35" s="68">
        <f t="shared" si="21"/>
        <v>3.8090519602931789</v>
      </c>
    </row>
    <row r="36" spans="1:19">
      <c r="A36" s="60" t="s">
        <v>24</v>
      </c>
      <c r="B36" s="94">
        <f>+C36*$B$85/100</f>
        <v>0</v>
      </c>
      <c r="C36" s="142"/>
      <c r="D36" s="67">
        <f t="shared" si="10"/>
        <v>0</v>
      </c>
      <c r="E36" s="70">
        <f t="shared" si="12"/>
        <v>0</v>
      </c>
      <c r="F36" s="67">
        <f t="shared" si="13"/>
        <v>0</v>
      </c>
      <c r="G36" s="70">
        <f t="shared" si="14"/>
        <v>0</v>
      </c>
      <c r="H36" s="189"/>
      <c r="I36" s="190"/>
      <c r="J36" s="187">
        <f t="shared" si="3"/>
        <v>0</v>
      </c>
      <c r="K36" s="190">
        <f t="shared" si="15"/>
        <v>0</v>
      </c>
      <c r="L36" s="187">
        <f t="shared" si="16"/>
        <v>0</v>
      </c>
      <c r="M36" s="190">
        <f t="shared" si="17"/>
        <v>0</v>
      </c>
      <c r="N36" s="67">
        <f t="shared" si="4"/>
        <v>0</v>
      </c>
      <c r="O36" s="70">
        <f t="shared" si="5"/>
        <v>0</v>
      </c>
      <c r="P36" s="67">
        <f t="shared" si="18"/>
        <v>0</v>
      </c>
      <c r="Q36" s="70">
        <f t="shared" si="19"/>
        <v>0</v>
      </c>
      <c r="R36" s="67">
        <f t="shared" si="20"/>
        <v>0</v>
      </c>
      <c r="S36" s="70">
        <f t="shared" si="21"/>
        <v>0</v>
      </c>
    </row>
    <row r="37" spans="1:19">
      <c r="A37" s="60" t="s">
        <v>25</v>
      </c>
      <c r="B37" s="94">
        <f>+C37*$B$85/100</f>
        <v>2447804.4080000003</v>
      </c>
      <c r="C37" s="136">
        <v>0.16</v>
      </c>
      <c r="D37" s="67">
        <f t="shared" si="10"/>
        <v>815934.8026666668</v>
      </c>
      <c r="E37" s="68">
        <f t="shared" si="12"/>
        <v>0.15999999995124267</v>
      </c>
      <c r="F37" s="67">
        <f t="shared" si="13"/>
        <v>3263739.2106666672</v>
      </c>
      <c r="G37" s="68">
        <f t="shared" si="14"/>
        <v>0.15999999995124267</v>
      </c>
      <c r="H37" s="185"/>
      <c r="I37" s="186"/>
      <c r="J37" s="187">
        <f t="shared" si="3"/>
        <v>0</v>
      </c>
      <c r="K37" s="186">
        <f t="shared" si="15"/>
        <v>0</v>
      </c>
      <c r="L37" s="187">
        <f t="shared" si="16"/>
        <v>0</v>
      </c>
      <c r="M37" s="186">
        <f t="shared" si="17"/>
        <v>0</v>
      </c>
      <c r="N37" s="67">
        <f t="shared" si="4"/>
        <v>2447804.4080000003</v>
      </c>
      <c r="O37" s="68">
        <f t="shared" si="5"/>
        <v>0.13719203110825015</v>
      </c>
      <c r="P37" s="67">
        <f t="shared" si="18"/>
        <v>815934.8026666668</v>
      </c>
      <c r="Q37" s="68">
        <f t="shared" si="19"/>
        <v>0.13719203110825018</v>
      </c>
      <c r="R37" s="67">
        <f t="shared" si="20"/>
        <v>3263739.2106666672</v>
      </c>
      <c r="S37" s="68">
        <f t="shared" si="21"/>
        <v>0.13719203110825018</v>
      </c>
    </row>
    <row r="38" spans="1:19" s="23" customFormat="1">
      <c r="A38" s="59" t="s">
        <v>26</v>
      </c>
      <c r="B38" s="93">
        <f>SUM(B39:B46)</f>
        <v>243368422.84798074</v>
      </c>
      <c r="C38" s="130">
        <f>SUM(C39:C46)</f>
        <v>15.907703870625969</v>
      </c>
      <c r="D38" s="61">
        <f t="shared" si="10"/>
        <v>81122807.615993574</v>
      </c>
      <c r="E38" s="65">
        <f t="shared" si="12"/>
        <v>15.907703865778361</v>
      </c>
      <c r="F38" s="61">
        <f t="shared" si="13"/>
        <v>324491230.4639743</v>
      </c>
      <c r="G38" s="65">
        <f t="shared" si="14"/>
        <v>15.907703865778361</v>
      </c>
      <c r="H38" s="181"/>
      <c r="I38" s="182"/>
      <c r="J38" s="183">
        <f t="shared" si="3"/>
        <v>0</v>
      </c>
      <c r="K38" s="184">
        <f t="shared" si="15"/>
        <v>0</v>
      </c>
      <c r="L38" s="183">
        <f t="shared" si="16"/>
        <v>0</v>
      </c>
      <c r="M38" s="184">
        <f t="shared" si="17"/>
        <v>0</v>
      </c>
      <c r="N38" s="61">
        <f t="shared" si="4"/>
        <v>243368422.84798074</v>
      </c>
      <c r="O38" s="65">
        <f t="shared" si="5"/>
        <v>13.640063776748436</v>
      </c>
      <c r="P38" s="61">
        <f t="shared" si="18"/>
        <v>81122807.615993574</v>
      </c>
      <c r="Q38" s="65">
        <f t="shared" si="19"/>
        <v>13.640063776748436</v>
      </c>
      <c r="R38" s="61">
        <f t="shared" si="20"/>
        <v>324491230.4639743</v>
      </c>
      <c r="S38" s="65">
        <f t="shared" si="21"/>
        <v>13.640063776748436</v>
      </c>
    </row>
    <row r="39" spans="1:19">
      <c r="A39" s="60" t="s">
        <v>27</v>
      </c>
      <c r="B39" s="94">
        <f t="shared" ref="B39:B46" si="24">+C39*$B$85/100</f>
        <v>85791014.082980692</v>
      </c>
      <c r="C39" s="136">
        <v>5.6077038706259703</v>
      </c>
      <c r="D39" s="67">
        <f t="shared" ref="D39:D71" si="25">F39*D$2</f>
        <v>28597004.694326896</v>
      </c>
      <c r="E39" s="68">
        <f t="shared" si="12"/>
        <v>5.6077038689171141</v>
      </c>
      <c r="F39" s="67">
        <f t="shared" si="13"/>
        <v>114388018.77730758</v>
      </c>
      <c r="G39" s="68">
        <f t="shared" si="14"/>
        <v>5.6077038689171141</v>
      </c>
      <c r="H39" s="185"/>
      <c r="I39" s="186"/>
      <c r="J39" s="187">
        <f t="shared" ref="J39:J71" si="26">L39*J$2</f>
        <v>0</v>
      </c>
      <c r="K39" s="186">
        <f t="shared" si="15"/>
        <v>0</v>
      </c>
      <c r="L39" s="187">
        <f t="shared" si="16"/>
        <v>0</v>
      </c>
      <c r="M39" s="186">
        <f t="shared" si="17"/>
        <v>0</v>
      </c>
      <c r="N39" s="67">
        <f t="shared" si="4"/>
        <v>85791014.082980692</v>
      </c>
      <c r="O39" s="68">
        <f t="shared" si="5"/>
        <v>4.8083267741548301</v>
      </c>
      <c r="P39" s="67">
        <f t="shared" si="18"/>
        <v>28597004.694326896</v>
      </c>
      <c r="Q39" s="68">
        <f t="shared" si="19"/>
        <v>4.8083267741548301</v>
      </c>
      <c r="R39" s="67">
        <f t="shared" si="20"/>
        <v>114388018.77730758</v>
      </c>
      <c r="S39" s="68">
        <f t="shared" si="21"/>
        <v>4.8083267741548301</v>
      </c>
    </row>
    <row r="40" spans="1:19">
      <c r="A40" s="60" t="s">
        <v>28</v>
      </c>
      <c r="B40" s="94">
        <f t="shared" si="24"/>
        <v>0</v>
      </c>
      <c r="C40" s="136">
        <v>0</v>
      </c>
      <c r="D40" s="67">
        <f t="shared" si="25"/>
        <v>0</v>
      </c>
      <c r="E40" s="68">
        <f t="shared" si="12"/>
        <v>0</v>
      </c>
      <c r="F40" s="67">
        <f t="shared" si="13"/>
        <v>0</v>
      </c>
      <c r="G40" s="68">
        <f t="shared" si="14"/>
        <v>0</v>
      </c>
      <c r="H40" s="185"/>
      <c r="I40" s="186"/>
      <c r="J40" s="187">
        <f t="shared" si="26"/>
        <v>0</v>
      </c>
      <c r="K40" s="186">
        <f t="shared" si="15"/>
        <v>0</v>
      </c>
      <c r="L40" s="187">
        <f t="shared" si="16"/>
        <v>0</v>
      </c>
      <c r="M40" s="186">
        <f t="shared" si="17"/>
        <v>0</v>
      </c>
      <c r="N40" s="67">
        <f t="shared" si="4"/>
        <v>0</v>
      </c>
      <c r="O40" s="68">
        <f t="shared" si="5"/>
        <v>0</v>
      </c>
      <c r="P40" s="67">
        <f t="shared" si="18"/>
        <v>0</v>
      </c>
      <c r="Q40" s="68">
        <f t="shared" si="19"/>
        <v>0</v>
      </c>
      <c r="R40" s="67">
        <f t="shared" si="20"/>
        <v>0</v>
      </c>
      <c r="S40" s="68">
        <f t="shared" si="21"/>
        <v>0</v>
      </c>
    </row>
    <row r="41" spans="1:19" ht="28">
      <c r="A41" s="60" t="s">
        <v>29</v>
      </c>
      <c r="B41" s="94">
        <f t="shared" si="24"/>
        <v>71445291.158500001</v>
      </c>
      <c r="C41" s="136">
        <f>4.8-0.13</f>
        <v>4.67</v>
      </c>
      <c r="D41" s="67">
        <f t="shared" si="25"/>
        <v>23815097.052833334</v>
      </c>
      <c r="E41" s="68">
        <f t="shared" si="12"/>
        <v>4.6699999985768947</v>
      </c>
      <c r="F41" s="67">
        <f t="shared" si="13"/>
        <v>95260388.211333334</v>
      </c>
      <c r="G41" s="68">
        <f t="shared" si="14"/>
        <v>4.6699999985768947</v>
      </c>
      <c r="H41" s="185"/>
      <c r="I41" s="186"/>
      <c r="J41" s="187">
        <f t="shared" si="26"/>
        <v>0</v>
      </c>
      <c r="K41" s="186">
        <f t="shared" si="15"/>
        <v>0</v>
      </c>
      <c r="L41" s="187">
        <f t="shared" si="16"/>
        <v>0</v>
      </c>
      <c r="M41" s="186">
        <f t="shared" si="17"/>
        <v>0</v>
      </c>
      <c r="N41" s="67">
        <f t="shared" si="4"/>
        <v>71445291.158500001</v>
      </c>
      <c r="O41" s="68">
        <f t="shared" si="5"/>
        <v>4.0042924079720512</v>
      </c>
      <c r="P41" s="67">
        <f t="shared" si="18"/>
        <v>23815097.052833334</v>
      </c>
      <c r="Q41" s="68">
        <f t="shared" si="19"/>
        <v>4.0042924079720512</v>
      </c>
      <c r="R41" s="67">
        <f t="shared" si="20"/>
        <v>95260388.211333334</v>
      </c>
      <c r="S41" s="68">
        <f t="shared" si="21"/>
        <v>4.0042924079720512</v>
      </c>
    </row>
    <row r="42" spans="1:19">
      <c r="A42" s="60" t="s">
        <v>30</v>
      </c>
      <c r="B42" s="94">
        <f t="shared" si="24"/>
        <v>6578474.3465</v>
      </c>
      <c r="C42" s="136">
        <f>0.3+0.13</f>
        <v>0.43</v>
      </c>
      <c r="D42" s="67">
        <f t="shared" si="25"/>
        <v>2192824.7821666668</v>
      </c>
      <c r="E42" s="68">
        <f t="shared" si="12"/>
        <v>0.42999999986896459</v>
      </c>
      <c r="F42" s="67">
        <f t="shared" si="13"/>
        <v>8771299.1286666673</v>
      </c>
      <c r="G42" s="68">
        <f t="shared" si="14"/>
        <v>0.42999999986896459</v>
      </c>
      <c r="H42" s="185"/>
      <c r="I42" s="186"/>
      <c r="J42" s="187">
        <f t="shared" si="26"/>
        <v>0</v>
      </c>
      <c r="K42" s="186">
        <f t="shared" si="15"/>
        <v>0</v>
      </c>
      <c r="L42" s="187">
        <f t="shared" si="16"/>
        <v>0</v>
      </c>
      <c r="M42" s="186">
        <f t="shared" si="17"/>
        <v>0</v>
      </c>
      <c r="N42" s="67">
        <f t="shared" si="4"/>
        <v>6578474.3465</v>
      </c>
      <c r="O42" s="68">
        <f t="shared" si="5"/>
        <v>0.36870358360342226</v>
      </c>
      <c r="P42" s="67">
        <f t="shared" si="18"/>
        <v>2192824.7821666668</v>
      </c>
      <c r="Q42" s="68">
        <f t="shared" si="19"/>
        <v>0.36870358360342231</v>
      </c>
      <c r="R42" s="67">
        <f t="shared" si="20"/>
        <v>8771299.1286666673</v>
      </c>
      <c r="S42" s="68">
        <f t="shared" si="21"/>
        <v>0.36870358360342231</v>
      </c>
    </row>
    <row r="43" spans="1:19" ht="28">
      <c r="A43" s="60" t="s">
        <v>31</v>
      </c>
      <c r="B43" s="94">
        <f t="shared" si="24"/>
        <v>7649388.7750000004</v>
      </c>
      <c r="C43" s="136">
        <v>0.5</v>
      </c>
      <c r="D43" s="67">
        <f t="shared" si="25"/>
        <v>2549796.2583333333</v>
      </c>
      <c r="E43" s="68">
        <f t="shared" si="12"/>
        <v>0.49999999984763321</v>
      </c>
      <c r="F43" s="67">
        <f t="shared" si="13"/>
        <v>10199185.033333333</v>
      </c>
      <c r="G43" s="68">
        <f t="shared" si="14"/>
        <v>0.49999999984763321</v>
      </c>
      <c r="H43" s="185"/>
      <c r="I43" s="186"/>
      <c r="J43" s="187">
        <f t="shared" si="26"/>
        <v>0</v>
      </c>
      <c r="K43" s="186">
        <f t="shared" si="15"/>
        <v>0</v>
      </c>
      <c r="L43" s="187">
        <f t="shared" si="16"/>
        <v>0</v>
      </c>
      <c r="M43" s="186">
        <f t="shared" si="17"/>
        <v>0</v>
      </c>
      <c r="N43" s="67">
        <f t="shared" si="4"/>
        <v>7649388.7750000004</v>
      </c>
      <c r="O43" s="68">
        <f t="shared" si="5"/>
        <v>0.42872509721328173</v>
      </c>
      <c r="P43" s="67">
        <f t="shared" si="18"/>
        <v>2549796.2583333333</v>
      </c>
      <c r="Q43" s="68">
        <f t="shared" si="19"/>
        <v>0.42872509721328173</v>
      </c>
      <c r="R43" s="67">
        <f t="shared" si="20"/>
        <v>10199185.033333333</v>
      </c>
      <c r="S43" s="68">
        <f t="shared" si="21"/>
        <v>0.42872509721328173</v>
      </c>
    </row>
    <row r="44" spans="1:19" ht="28">
      <c r="A44" s="60" t="s">
        <v>32</v>
      </c>
      <c r="B44" s="94">
        <f t="shared" si="24"/>
        <v>15298777.550000001</v>
      </c>
      <c r="C44" s="136">
        <v>1</v>
      </c>
      <c r="D44" s="67">
        <f t="shared" si="25"/>
        <v>5099592.5166666666</v>
      </c>
      <c r="E44" s="68">
        <f t="shared" si="12"/>
        <v>0.99999999969526643</v>
      </c>
      <c r="F44" s="67">
        <f t="shared" si="13"/>
        <v>20398370.066666666</v>
      </c>
      <c r="G44" s="68">
        <f t="shared" si="14"/>
        <v>0.99999999969526643</v>
      </c>
      <c r="H44" s="185"/>
      <c r="I44" s="186"/>
      <c r="J44" s="187">
        <f t="shared" si="26"/>
        <v>0</v>
      </c>
      <c r="K44" s="186">
        <f t="shared" si="15"/>
        <v>0</v>
      </c>
      <c r="L44" s="187">
        <f t="shared" si="16"/>
        <v>0</v>
      </c>
      <c r="M44" s="186">
        <f t="shared" si="17"/>
        <v>0</v>
      </c>
      <c r="N44" s="67">
        <f t="shared" si="4"/>
        <v>15298777.550000001</v>
      </c>
      <c r="O44" s="68">
        <f t="shared" si="5"/>
        <v>0.85745019442656345</v>
      </c>
      <c r="P44" s="67">
        <f t="shared" si="18"/>
        <v>5099592.5166666666</v>
      </c>
      <c r="Q44" s="68">
        <f t="shared" si="19"/>
        <v>0.85745019442656345</v>
      </c>
      <c r="R44" s="67">
        <f t="shared" si="20"/>
        <v>20398370.066666666</v>
      </c>
      <c r="S44" s="68">
        <f t="shared" si="21"/>
        <v>0.85745019442656345</v>
      </c>
    </row>
    <row r="45" spans="1:19" ht="28">
      <c r="A45" s="60" t="s">
        <v>33</v>
      </c>
      <c r="B45" s="94">
        <f t="shared" si="24"/>
        <v>41306699.385000005</v>
      </c>
      <c r="C45" s="136">
        <v>2.7</v>
      </c>
      <c r="D45" s="67">
        <f t="shared" si="25"/>
        <v>13768899.795000002</v>
      </c>
      <c r="E45" s="68">
        <f t="shared" si="12"/>
        <v>2.6999999991772197</v>
      </c>
      <c r="F45" s="67">
        <f t="shared" si="13"/>
        <v>55075599.180000007</v>
      </c>
      <c r="G45" s="68">
        <f t="shared" si="14"/>
        <v>2.6999999991772197</v>
      </c>
      <c r="H45" s="185"/>
      <c r="I45" s="186"/>
      <c r="J45" s="187">
        <f t="shared" si="26"/>
        <v>0</v>
      </c>
      <c r="K45" s="186">
        <f t="shared" si="15"/>
        <v>0</v>
      </c>
      <c r="L45" s="187">
        <f t="shared" si="16"/>
        <v>0</v>
      </c>
      <c r="M45" s="186">
        <f t="shared" si="17"/>
        <v>0</v>
      </c>
      <c r="N45" s="67">
        <f t="shared" si="4"/>
        <v>41306699.385000005</v>
      </c>
      <c r="O45" s="68">
        <f t="shared" si="5"/>
        <v>2.3151155249517217</v>
      </c>
      <c r="P45" s="67">
        <f t="shared" si="18"/>
        <v>13768899.795000002</v>
      </c>
      <c r="Q45" s="68">
        <f t="shared" si="19"/>
        <v>2.3151155249517217</v>
      </c>
      <c r="R45" s="67">
        <f t="shared" si="20"/>
        <v>55075599.180000007</v>
      </c>
      <c r="S45" s="68">
        <f t="shared" si="21"/>
        <v>2.3151155249517217</v>
      </c>
    </row>
    <row r="46" spans="1:19">
      <c r="A46" s="60" t="s">
        <v>34</v>
      </c>
      <c r="B46" s="94">
        <f t="shared" si="24"/>
        <v>15298777.550000001</v>
      </c>
      <c r="C46" s="136">
        <f>0.5+0.5</f>
        <v>1</v>
      </c>
      <c r="D46" s="67">
        <f t="shared" si="25"/>
        <v>5099592.5166666666</v>
      </c>
      <c r="E46" s="68">
        <f t="shared" si="12"/>
        <v>0.99999999969526643</v>
      </c>
      <c r="F46" s="67">
        <f t="shared" si="13"/>
        <v>20398370.066666666</v>
      </c>
      <c r="G46" s="68">
        <f t="shared" si="14"/>
        <v>0.99999999969526643</v>
      </c>
      <c r="H46" s="185"/>
      <c r="I46" s="186"/>
      <c r="J46" s="187">
        <f t="shared" si="26"/>
        <v>0</v>
      </c>
      <c r="K46" s="186">
        <f t="shared" si="15"/>
        <v>0</v>
      </c>
      <c r="L46" s="187">
        <f t="shared" si="16"/>
        <v>0</v>
      </c>
      <c r="M46" s="186">
        <f t="shared" si="17"/>
        <v>0</v>
      </c>
      <c r="N46" s="67">
        <f t="shared" si="4"/>
        <v>15298777.550000001</v>
      </c>
      <c r="O46" s="68">
        <f t="shared" si="5"/>
        <v>0.85745019442656345</v>
      </c>
      <c r="P46" s="67">
        <f t="shared" si="18"/>
        <v>5099592.5166666666</v>
      </c>
      <c r="Q46" s="68">
        <f t="shared" si="19"/>
        <v>0.85745019442656345</v>
      </c>
      <c r="R46" s="67">
        <f t="shared" si="20"/>
        <v>20398370.066666666</v>
      </c>
      <c r="S46" s="68">
        <f t="shared" si="21"/>
        <v>0.85745019442656345</v>
      </c>
    </row>
    <row r="47" spans="1:19" s="23" customFormat="1" ht="28">
      <c r="A47" s="59" t="s">
        <v>35</v>
      </c>
      <c r="B47" s="93">
        <f>SUM(B48:B51)</f>
        <v>167640241.00122437</v>
      </c>
      <c r="C47" s="130">
        <f>SUM(C48:C51)</f>
        <v>10.957754007033351</v>
      </c>
      <c r="D47" s="61">
        <f t="shared" si="25"/>
        <v>55880080.333741456</v>
      </c>
      <c r="E47" s="65">
        <f t="shared" si="12"/>
        <v>10.957754003694156</v>
      </c>
      <c r="F47" s="61">
        <f t="shared" si="13"/>
        <v>223520321.33496583</v>
      </c>
      <c r="G47" s="65">
        <f t="shared" si="14"/>
        <v>10.957754003694156</v>
      </c>
      <c r="H47" s="181"/>
      <c r="I47" s="182"/>
      <c r="J47" s="183">
        <f t="shared" si="26"/>
        <v>0</v>
      </c>
      <c r="K47" s="184">
        <f t="shared" si="15"/>
        <v>0</v>
      </c>
      <c r="L47" s="183">
        <f t="shared" si="16"/>
        <v>0</v>
      </c>
      <c r="M47" s="184">
        <f t="shared" si="17"/>
        <v>0</v>
      </c>
      <c r="N47" s="61">
        <f t="shared" si="4"/>
        <v>167640241.00122437</v>
      </c>
      <c r="O47" s="65">
        <f t="shared" si="5"/>
        <v>9.3957283038092019</v>
      </c>
      <c r="P47" s="61">
        <f t="shared" si="18"/>
        <v>55880080.333741456</v>
      </c>
      <c r="Q47" s="65">
        <f t="shared" si="19"/>
        <v>9.3957283038092019</v>
      </c>
      <c r="R47" s="61">
        <f t="shared" si="20"/>
        <v>223520321.33496583</v>
      </c>
      <c r="S47" s="65">
        <f t="shared" si="21"/>
        <v>9.3957283038092019</v>
      </c>
    </row>
    <row r="48" spans="1:19" ht="28">
      <c r="A48" s="60" t="s">
        <v>168</v>
      </c>
      <c r="B48" s="94">
        <f>+C48*$B$85/100</f>
        <v>0</v>
      </c>
      <c r="C48" s="136"/>
      <c r="D48" s="67">
        <f t="shared" si="25"/>
        <v>0</v>
      </c>
      <c r="E48" s="68">
        <f t="shared" si="12"/>
        <v>0</v>
      </c>
      <c r="F48" s="67">
        <f t="shared" si="13"/>
        <v>0</v>
      </c>
      <c r="G48" s="68">
        <f t="shared" si="14"/>
        <v>0</v>
      </c>
      <c r="H48" s="185"/>
      <c r="I48" s="192"/>
      <c r="J48" s="187">
        <f t="shared" si="26"/>
        <v>0</v>
      </c>
      <c r="K48" s="186">
        <f t="shared" si="15"/>
        <v>0</v>
      </c>
      <c r="L48" s="187">
        <f t="shared" si="16"/>
        <v>0</v>
      </c>
      <c r="M48" s="186">
        <f t="shared" si="17"/>
        <v>0</v>
      </c>
      <c r="N48" s="67">
        <f t="shared" si="4"/>
        <v>0</v>
      </c>
      <c r="O48" s="68">
        <f t="shared" si="5"/>
        <v>0</v>
      </c>
      <c r="P48" s="67">
        <f t="shared" si="18"/>
        <v>0</v>
      </c>
      <c r="Q48" s="68">
        <f t="shared" si="19"/>
        <v>0</v>
      </c>
      <c r="R48" s="67">
        <f t="shared" si="20"/>
        <v>0</v>
      </c>
      <c r="S48" s="68">
        <f t="shared" si="21"/>
        <v>0</v>
      </c>
    </row>
    <row r="49" spans="1:19" s="24" customFormat="1">
      <c r="A49" s="100" t="s">
        <v>165</v>
      </c>
      <c r="B49" s="101">
        <f>+C49*$B$85/100</f>
        <v>16828655.305000003</v>
      </c>
      <c r="C49" s="139">
        <f>2.35-1.25</f>
        <v>1.1000000000000001</v>
      </c>
      <c r="D49" s="110">
        <f t="shared" si="25"/>
        <v>5609551.7683333345</v>
      </c>
      <c r="E49" s="69">
        <f t="shared" si="12"/>
        <v>1.0999999996647933</v>
      </c>
      <c r="F49" s="110">
        <f t="shared" si="13"/>
        <v>22438207.073333338</v>
      </c>
      <c r="G49" s="69">
        <f t="shared" si="14"/>
        <v>1.0999999996647933</v>
      </c>
      <c r="H49" s="191"/>
      <c r="I49" s="193"/>
      <c r="J49" s="194">
        <f t="shared" si="26"/>
        <v>0</v>
      </c>
      <c r="K49" s="188">
        <f t="shared" si="15"/>
        <v>0</v>
      </c>
      <c r="L49" s="194">
        <f t="shared" si="16"/>
        <v>0</v>
      </c>
      <c r="M49" s="188">
        <f t="shared" si="17"/>
        <v>0</v>
      </c>
      <c r="N49" s="110">
        <f t="shared" si="4"/>
        <v>16828655.305000003</v>
      </c>
      <c r="O49" s="69">
        <f t="shared" si="5"/>
        <v>0.94319521386922001</v>
      </c>
      <c r="P49" s="110">
        <f t="shared" si="18"/>
        <v>5609551.7683333345</v>
      </c>
      <c r="Q49" s="69">
        <f t="shared" si="19"/>
        <v>0.94319521386922001</v>
      </c>
      <c r="R49" s="110">
        <f t="shared" si="20"/>
        <v>22438207.073333338</v>
      </c>
      <c r="S49" s="69">
        <f t="shared" si="21"/>
        <v>0.94319521386922001</v>
      </c>
    </row>
    <row r="50" spans="1:19" s="24" customFormat="1" ht="28">
      <c r="A50" s="100" t="s">
        <v>166</v>
      </c>
      <c r="B50" s="101">
        <f>+C50*$B$85/100</f>
        <v>107975008.55622436</v>
      </c>
      <c r="C50" s="139">
        <f>6.35775400703335-2.5+0.5+0.7+0.5+0.5+0.25+0.25+0.5</f>
        <v>7.05775400703335</v>
      </c>
      <c r="D50" s="110">
        <f t="shared" si="25"/>
        <v>35991669.518741451</v>
      </c>
      <c r="E50" s="69">
        <f t="shared" si="12"/>
        <v>7.0577540048826153</v>
      </c>
      <c r="F50" s="110">
        <f t="shared" si="13"/>
        <v>143966678.0749658</v>
      </c>
      <c r="G50" s="69">
        <f t="shared" si="14"/>
        <v>7.0577540048826153</v>
      </c>
      <c r="H50" s="191"/>
      <c r="I50" s="195"/>
      <c r="J50" s="194">
        <f t="shared" si="26"/>
        <v>0</v>
      </c>
      <c r="K50" s="188">
        <f t="shared" si="15"/>
        <v>0</v>
      </c>
      <c r="L50" s="194">
        <f t="shared" si="16"/>
        <v>0</v>
      </c>
      <c r="M50" s="188">
        <f t="shared" si="17"/>
        <v>0</v>
      </c>
      <c r="N50" s="110">
        <f t="shared" si="4"/>
        <v>107975008.55622436</v>
      </c>
      <c r="O50" s="69">
        <f t="shared" si="5"/>
        <v>6.0516725455456033</v>
      </c>
      <c r="P50" s="110">
        <f t="shared" si="18"/>
        <v>35991669.518741451</v>
      </c>
      <c r="Q50" s="69">
        <f t="shared" si="19"/>
        <v>6.0516725455456033</v>
      </c>
      <c r="R50" s="110">
        <f t="shared" si="20"/>
        <v>143966678.0749658</v>
      </c>
      <c r="S50" s="69">
        <f t="shared" si="21"/>
        <v>6.0516725455456033</v>
      </c>
    </row>
    <row r="51" spans="1:19" s="24" customFormat="1">
      <c r="A51" s="100" t="s">
        <v>167</v>
      </c>
      <c r="B51" s="101">
        <f>+C51*$B$85/100</f>
        <v>42836577.139999993</v>
      </c>
      <c r="C51" s="139">
        <v>2.8</v>
      </c>
      <c r="D51" s="110">
        <f t="shared" si="25"/>
        <v>14278859.046666665</v>
      </c>
      <c r="E51" s="69">
        <f t="shared" si="12"/>
        <v>2.7999999991467459</v>
      </c>
      <c r="F51" s="110">
        <f t="shared" si="13"/>
        <v>57115436.18666666</v>
      </c>
      <c r="G51" s="69">
        <f t="shared" si="14"/>
        <v>2.7999999991467459</v>
      </c>
      <c r="H51" s="191"/>
      <c r="I51" s="193"/>
      <c r="J51" s="194">
        <f t="shared" si="26"/>
        <v>0</v>
      </c>
      <c r="K51" s="188">
        <f t="shared" si="15"/>
        <v>0</v>
      </c>
      <c r="L51" s="194">
        <f t="shared" si="16"/>
        <v>0</v>
      </c>
      <c r="M51" s="188">
        <f t="shared" si="17"/>
        <v>0</v>
      </c>
      <c r="N51" s="110">
        <f t="shared" si="4"/>
        <v>42836577.139999993</v>
      </c>
      <c r="O51" s="69">
        <f t="shared" si="5"/>
        <v>2.4008605443943773</v>
      </c>
      <c r="P51" s="110">
        <f t="shared" si="18"/>
        <v>14278859.046666665</v>
      </c>
      <c r="Q51" s="69">
        <f t="shared" si="19"/>
        <v>2.4008605443943773</v>
      </c>
      <c r="R51" s="110">
        <f t="shared" si="20"/>
        <v>57115436.18666666</v>
      </c>
      <c r="S51" s="69">
        <f t="shared" si="21"/>
        <v>2.4008605443943773</v>
      </c>
    </row>
    <row r="52" spans="1:19" s="24" customFormat="1">
      <c r="A52" s="100" t="s">
        <v>36</v>
      </c>
      <c r="B52" s="101"/>
      <c r="C52" s="139"/>
      <c r="D52" s="110"/>
      <c r="E52" s="69"/>
      <c r="F52" s="110"/>
      <c r="G52" s="69"/>
      <c r="H52" s="191"/>
      <c r="I52" s="193"/>
      <c r="J52" s="194"/>
      <c r="K52" s="188"/>
      <c r="L52" s="194"/>
      <c r="M52" s="188"/>
      <c r="N52" s="110"/>
      <c r="O52" s="69"/>
      <c r="P52" s="110"/>
      <c r="Q52" s="69"/>
      <c r="R52" s="110"/>
      <c r="S52" s="69"/>
    </row>
    <row r="53" spans="1:19" ht="28">
      <c r="A53" s="59" t="s">
        <v>37</v>
      </c>
      <c r="B53" s="93">
        <f>SUM(B54:B60)</f>
        <v>0</v>
      </c>
      <c r="C53" s="130">
        <f>SUM(C54:C60)</f>
        <v>0</v>
      </c>
      <c r="D53" s="61">
        <f t="shared" si="25"/>
        <v>0</v>
      </c>
      <c r="E53" s="65">
        <f>+D53/D$83%</f>
        <v>0</v>
      </c>
      <c r="F53" s="61">
        <f>$B53/(1-$D$2)</f>
        <v>0</v>
      </c>
      <c r="G53" s="65">
        <f t="shared" ref="G53:G60" si="27">+F53/F$83%</f>
        <v>0</v>
      </c>
      <c r="H53" s="217">
        <f>SUM(H54:H60)</f>
        <v>126562500</v>
      </c>
      <c r="I53" s="184">
        <f>SUM(I54:I60)</f>
        <v>49.761170757195785</v>
      </c>
      <c r="J53" s="183">
        <f t="shared" si="26"/>
        <v>42187500</v>
      </c>
      <c r="K53" s="184">
        <f>+J53/J$83%</f>
        <v>49.761170757195778</v>
      </c>
      <c r="L53" s="183">
        <f>H53/(1-$D$2)</f>
        <v>168750000</v>
      </c>
      <c r="M53" s="184">
        <f>+L53/L$83%</f>
        <v>49.761170757195778</v>
      </c>
      <c r="N53" s="61">
        <f>B53+H53</f>
        <v>126562500</v>
      </c>
      <c r="O53" s="65">
        <f>+N53/N$83%</f>
        <v>7.093445203542549</v>
      </c>
      <c r="P53" s="61">
        <f>J53+D53</f>
        <v>42187500</v>
      </c>
      <c r="Q53" s="65">
        <f>+P53/P$83%</f>
        <v>7.0934452035425499</v>
      </c>
      <c r="R53" s="61">
        <f>L53+F53</f>
        <v>168750000</v>
      </c>
      <c r="S53" s="65">
        <f>+R53/R$83%</f>
        <v>7.0934452035425499</v>
      </c>
    </row>
    <row r="54" spans="1:19">
      <c r="A54" s="60" t="s">
        <v>162</v>
      </c>
      <c r="B54" s="94"/>
      <c r="C54" s="136"/>
      <c r="D54" s="67">
        <f t="shared" si="25"/>
        <v>0</v>
      </c>
      <c r="E54" s="68">
        <f>+D54/D$83%</f>
        <v>0</v>
      </c>
      <c r="F54" s="67">
        <f>$B54/(1-$D$2)</f>
        <v>0</v>
      </c>
      <c r="G54" s="68">
        <f t="shared" si="27"/>
        <v>0</v>
      </c>
      <c r="H54" s="213">
        <v>33750000</v>
      </c>
      <c r="I54" s="186">
        <v>13.269645535252208</v>
      </c>
      <c r="J54" s="187">
        <f t="shared" si="26"/>
        <v>11250000</v>
      </c>
      <c r="K54" s="186">
        <f>+J54/J$83%</f>
        <v>13.269645535252208</v>
      </c>
      <c r="L54" s="187">
        <f>H54/(1-$D$2)</f>
        <v>45000000</v>
      </c>
      <c r="M54" s="186">
        <f>+L54/L$83%</f>
        <v>13.269645535252208</v>
      </c>
      <c r="N54" s="67">
        <f>B54+H54</f>
        <v>33750000</v>
      </c>
      <c r="O54" s="68">
        <f>+N54/N$83%</f>
        <v>1.8915853876113464</v>
      </c>
      <c r="P54" s="67">
        <f>J54+D54</f>
        <v>11250000</v>
      </c>
      <c r="Q54" s="68">
        <f>+P54/P$83%</f>
        <v>1.8915853876113466</v>
      </c>
      <c r="R54" s="67">
        <f>L54+F54</f>
        <v>45000000</v>
      </c>
      <c r="S54" s="68">
        <f>+R54/R$83%</f>
        <v>1.8915853876113466</v>
      </c>
    </row>
    <row r="55" spans="1:19">
      <c r="A55" s="60" t="s">
        <v>163</v>
      </c>
      <c r="B55" s="94"/>
      <c r="C55" s="136"/>
      <c r="D55" s="67">
        <f t="shared" si="25"/>
        <v>0</v>
      </c>
      <c r="E55" s="68">
        <f>+D55/D$83%</f>
        <v>0</v>
      </c>
      <c r="F55" s="67">
        <f>$B55/(1-$D$2)</f>
        <v>0</v>
      </c>
      <c r="G55" s="68">
        <f t="shared" si="27"/>
        <v>0</v>
      </c>
      <c r="H55" s="213">
        <v>26250000.000000004</v>
      </c>
      <c r="I55" s="186">
        <v>10.320835416307274</v>
      </c>
      <c r="J55" s="187">
        <f t="shared" si="26"/>
        <v>8750000.0000000019</v>
      </c>
      <c r="K55" s="186">
        <f>+J55/J$83%</f>
        <v>10.320835416307274</v>
      </c>
      <c r="L55" s="187">
        <f>H55/(1-$D$2)</f>
        <v>35000000.000000007</v>
      </c>
      <c r="M55" s="186">
        <f>+L55/L$83%</f>
        <v>10.320835416307274</v>
      </c>
      <c r="N55" s="67">
        <f>B55+H55</f>
        <v>26250000.000000004</v>
      </c>
      <c r="O55" s="68">
        <f>+N55/N$83%</f>
        <v>1.4712330792532697</v>
      </c>
      <c r="P55" s="67">
        <f>J55+D55</f>
        <v>8750000.0000000019</v>
      </c>
      <c r="Q55" s="68">
        <f>+P55/P$83%</f>
        <v>1.47123307925327</v>
      </c>
      <c r="R55" s="67">
        <f>L55+F55</f>
        <v>35000000.000000007</v>
      </c>
      <c r="S55" s="68">
        <f>+R55/R$83%</f>
        <v>1.47123307925327</v>
      </c>
    </row>
    <row r="56" spans="1:19">
      <c r="A56" s="100" t="s">
        <v>173</v>
      </c>
      <c r="B56" s="101"/>
      <c r="C56" s="136"/>
      <c r="D56" s="67"/>
      <c r="E56" s="68"/>
      <c r="F56" s="67"/>
      <c r="G56" s="68">
        <f t="shared" si="27"/>
        <v>0</v>
      </c>
      <c r="H56" s="213">
        <v>0</v>
      </c>
      <c r="I56" s="186">
        <v>0</v>
      </c>
      <c r="J56" s="187"/>
      <c r="K56" s="186"/>
      <c r="L56" s="187"/>
      <c r="M56" s="186"/>
      <c r="N56" s="67"/>
      <c r="O56" s="68"/>
      <c r="P56" s="67"/>
      <c r="Q56" s="68"/>
      <c r="R56" s="67"/>
      <c r="S56" s="68"/>
    </row>
    <row r="57" spans="1:19">
      <c r="A57" s="100" t="s">
        <v>38</v>
      </c>
      <c r="B57" s="101"/>
      <c r="C57" s="136"/>
      <c r="D57" s="67">
        <f t="shared" si="25"/>
        <v>0</v>
      </c>
      <c r="E57" s="68">
        <f>+D57/D$83%</f>
        <v>0</v>
      </c>
      <c r="F57" s="67">
        <f>$B57/(1-$D$2)</f>
        <v>0</v>
      </c>
      <c r="G57" s="68">
        <f t="shared" si="27"/>
        <v>0</v>
      </c>
      <c r="H57" s="213">
        <v>0</v>
      </c>
      <c r="I57" s="186">
        <v>0</v>
      </c>
      <c r="J57" s="187">
        <f t="shared" si="26"/>
        <v>0</v>
      </c>
      <c r="K57" s="186">
        <f>+J57/J$83%</f>
        <v>0</v>
      </c>
      <c r="L57" s="187">
        <f>H57/(1-$D$2)</f>
        <v>0</v>
      </c>
      <c r="M57" s="186">
        <f>+L57/L$83%</f>
        <v>0</v>
      </c>
      <c r="N57" s="67">
        <f>B57+H57</f>
        <v>0</v>
      </c>
      <c r="O57" s="68">
        <f>+N57/N$83%</f>
        <v>0</v>
      </c>
      <c r="P57" s="67">
        <f>J57+D57</f>
        <v>0</v>
      </c>
      <c r="Q57" s="68">
        <f>+P57/P$83%</f>
        <v>0</v>
      </c>
      <c r="R57" s="67">
        <f>L57+F57</f>
        <v>0</v>
      </c>
      <c r="S57" s="68">
        <f>+R57/R$83%</f>
        <v>0</v>
      </c>
    </row>
    <row r="58" spans="1:19" ht="28">
      <c r="A58" s="100" t="s">
        <v>174</v>
      </c>
      <c r="B58" s="101"/>
      <c r="C58" s="136"/>
      <c r="D58" s="67">
        <f t="shared" si="25"/>
        <v>0</v>
      </c>
      <c r="E58" s="68">
        <f>+D58/D$83%</f>
        <v>0</v>
      </c>
      <c r="F58" s="67">
        <f>$B58/(1-$D$2)</f>
        <v>0</v>
      </c>
      <c r="G58" s="68">
        <f t="shared" si="27"/>
        <v>0</v>
      </c>
      <c r="H58" s="213">
        <v>34500000</v>
      </c>
      <c r="I58" s="186">
        <v>13.564526547146702</v>
      </c>
      <c r="J58" s="187">
        <f t="shared" si="26"/>
        <v>11500000</v>
      </c>
      <c r="K58" s="186">
        <f>+J58/J$83%</f>
        <v>13.5645265471467</v>
      </c>
      <c r="L58" s="187">
        <f>H58/(1-$D$2)</f>
        <v>46000000</v>
      </c>
      <c r="M58" s="186">
        <f>+L58/L$83%</f>
        <v>13.5645265471467</v>
      </c>
      <c r="N58" s="67">
        <f>B58+H58</f>
        <v>34500000</v>
      </c>
      <c r="O58" s="68">
        <f>+N58/N$83%</f>
        <v>1.9336206184471543</v>
      </c>
      <c r="P58" s="67">
        <f>J58+D58</f>
        <v>11500000</v>
      </c>
      <c r="Q58" s="68">
        <f>+P58/P$83%</f>
        <v>1.9336206184471543</v>
      </c>
      <c r="R58" s="67">
        <f>L58+F58</f>
        <v>46000000</v>
      </c>
      <c r="S58" s="68">
        <f>+R58/R$83%</f>
        <v>1.9336206184471543</v>
      </c>
    </row>
    <row r="59" spans="1:19">
      <c r="A59" s="60" t="s">
        <v>164</v>
      </c>
      <c r="B59" s="94"/>
      <c r="C59" s="136"/>
      <c r="D59" s="67">
        <f t="shared" si="25"/>
        <v>0</v>
      </c>
      <c r="E59" s="68">
        <f>+D59/D$83%</f>
        <v>0</v>
      </c>
      <c r="F59" s="67">
        <f>$B59/(1-$D$2)</f>
        <v>0</v>
      </c>
      <c r="G59" s="68">
        <f t="shared" si="27"/>
        <v>0</v>
      </c>
      <c r="H59" s="213">
        <v>13312500.000000002</v>
      </c>
      <c r="I59" s="186">
        <v>5.23413796112726</v>
      </c>
      <c r="J59" s="187">
        <f t="shared" si="26"/>
        <v>4437500.0000000009</v>
      </c>
      <c r="K59" s="186">
        <f>+J59/J$83%</f>
        <v>5.2341379611272609</v>
      </c>
      <c r="L59" s="187">
        <f>H59/(1-$D$2)</f>
        <v>17750000.000000004</v>
      </c>
      <c r="M59" s="186">
        <f>+L59/L$83%</f>
        <v>5.2341379611272609</v>
      </c>
      <c r="N59" s="67">
        <f>B59+H59</f>
        <v>13312500.000000002</v>
      </c>
      <c r="O59" s="68">
        <f>+N59/N$83%</f>
        <v>0.74612534733558677</v>
      </c>
      <c r="P59" s="67">
        <f>J59+D59</f>
        <v>4437500.0000000009</v>
      </c>
      <c r="Q59" s="68">
        <f>+P59/P$83%</f>
        <v>0.74612534733558689</v>
      </c>
      <c r="R59" s="67">
        <f>L59+F59</f>
        <v>17750000.000000004</v>
      </c>
      <c r="S59" s="68">
        <f>+R59/R$83%</f>
        <v>0.74612534733558689</v>
      </c>
    </row>
    <row r="60" spans="1:19">
      <c r="A60" s="60" t="s">
        <v>175</v>
      </c>
      <c r="B60" s="94"/>
      <c r="C60" s="136"/>
      <c r="D60" s="67">
        <f t="shared" si="25"/>
        <v>0</v>
      </c>
      <c r="E60" s="68">
        <f>+D60/D$83%</f>
        <v>0</v>
      </c>
      <c r="F60" s="67">
        <f>$B60/(1-$D$2)</f>
        <v>0</v>
      </c>
      <c r="G60" s="68">
        <f t="shared" si="27"/>
        <v>0</v>
      </c>
      <c r="H60" s="213">
        <v>18750000.000000004</v>
      </c>
      <c r="I60" s="186">
        <v>7.3720252973623381</v>
      </c>
      <c r="J60" s="187">
        <f t="shared" si="26"/>
        <v>6250000.0000000009</v>
      </c>
      <c r="K60" s="186">
        <f>+J60/J$83%</f>
        <v>7.3720252973623381</v>
      </c>
      <c r="L60" s="187">
        <f>H60/(1-$D$2)</f>
        <v>25000000.000000004</v>
      </c>
      <c r="M60" s="186">
        <f>+L60/L$83%</f>
        <v>7.3720252973623381</v>
      </c>
      <c r="N60" s="67">
        <f>B60+H60</f>
        <v>18750000.000000004</v>
      </c>
      <c r="O60" s="68">
        <f>+N60/N$83%</f>
        <v>1.0508807708951926</v>
      </c>
      <c r="P60" s="67">
        <f>J60+D60</f>
        <v>6250000.0000000009</v>
      </c>
      <c r="Q60" s="68">
        <f>+P60/P$83%</f>
        <v>1.0508807708951928</v>
      </c>
      <c r="R60" s="67">
        <f>L60+F60</f>
        <v>25000000.000000004</v>
      </c>
      <c r="S60" s="68">
        <f>+R60/R$83%</f>
        <v>1.0508807708951928</v>
      </c>
    </row>
    <row r="61" spans="1:19" ht="28">
      <c r="A61" s="59" t="s">
        <v>39</v>
      </c>
      <c r="B61" s="93">
        <f>SUM(B62:B68)</f>
        <v>111736944.58729365</v>
      </c>
      <c r="C61" s="130">
        <f t="shared" ref="C61" si="28">SUM(C62:C68)</f>
        <v>7.303651825912957</v>
      </c>
      <c r="D61" s="61">
        <f t="shared" ref="D61:I61" si="29">SUM(D62:D68)</f>
        <v>37245648.195764549</v>
      </c>
      <c r="E61" s="65">
        <f t="shared" si="29"/>
        <v>7.3036518236872894</v>
      </c>
      <c r="F61" s="61">
        <f t="shared" si="29"/>
        <v>148982592.7830582</v>
      </c>
      <c r="G61" s="65">
        <f t="shared" si="29"/>
        <v>7.3036518236872894</v>
      </c>
      <c r="H61" s="217">
        <f t="shared" si="29"/>
        <v>50868750.000000007</v>
      </c>
      <c r="I61" s="184">
        <f t="shared" si="29"/>
        <v>20.000304631744026</v>
      </c>
      <c r="J61" s="183">
        <f t="shared" ref="J61:S61" si="30">SUM(J62:J68)</f>
        <v>16956250</v>
      </c>
      <c r="K61" s="184">
        <f t="shared" si="30"/>
        <v>20.000304631744026</v>
      </c>
      <c r="L61" s="183">
        <f t="shared" si="30"/>
        <v>67825000</v>
      </c>
      <c r="M61" s="184">
        <f t="shared" si="30"/>
        <v>20.000304631744026</v>
      </c>
      <c r="N61" s="61">
        <f t="shared" si="30"/>
        <v>162605694.58729365</v>
      </c>
      <c r="O61" s="65">
        <f t="shared" si="30"/>
        <v>9.1135572095916473</v>
      </c>
      <c r="P61" s="61">
        <f t="shared" si="30"/>
        <v>54201898.195764549</v>
      </c>
      <c r="Q61" s="65">
        <f t="shared" si="30"/>
        <v>9.1135572095916491</v>
      </c>
      <c r="R61" s="61">
        <f t="shared" si="30"/>
        <v>216807592.7830582</v>
      </c>
      <c r="S61" s="65">
        <f t="shared" si="30"/>
        <v>9.1135572095916491</v>
      </c>
    </row>
    <row r="62" spans="1:19">
      <c r="A62" s="60" t="s">
        <v>40</v>
      </c>
      <c r="B62" s="94">
        <f t="shared" ref="B62:B68" si="31">+C62*$B$85/100</f>
        <v>0</v>
      </c>
      <c r="C62" s="136"/>
      <c r="D62" s="67">
        <f t="shared" si="25"/>
        <v>0</v>
      </c>
      <c r="E62" s="68">
        <f t="shared" ref="E62:E71" si="32">+D62/D$83%</f>
        <v>0</v>
      </c>
      <c r="F62" s="67">
        <f t="shared" ref="F62:F80" si="33">$B62/(1-$D$2)</f>
        <v>0</v>
      </c>
      <c r="G62" s="68">
        <f t="shared" ref="G62:G71" si="34">+F62/F$83%</f>
        <v>0</v>
      </c>
      <c r="H62" s="213">
        <v>15000000.000000002</v>
      </c>
      <c r="I62" s="219">
        <f t="shared" ref="I62:I65" si="35">+H62/H$83%</f>
        <v>5.8976202378898712</v>
      </c>
      <c r="J62" s="187">
        <f t="shared" si="26"/>
        <v>5000000.0000000009</v>
      </c>
      <c r="K62" s="186">
        <f t="shared" ref="K62:K71" si="36">+J62/J$83%</f>
        <v>5.8976202378898712</v>
      </c>
      <c r="L62" s="187">
        <f t="shared" ref="L62:L80" si="37">H62/(1-$D$2)</f>
        <v>20000000.000000004</v>
      </c>
      <c r="M62" s="186">
        <f t="shared" ref="M62:M71" si="38">+L62/L$83%</f>
        <v>5.8976202378898712</v>
      </c>
      <c r="N62" s="67">
        <f t="shared" ref="N62:N80" si="39">B62+H62</f>
        <v>15000000.000000002</v>
      </c>
      <c r="O62" s="68">
        <f t="shared" ref="O62:O72" si="40">+N62/N$83%</f>
        <v>0.84070461671615404</v>
      </c>
      <c r="P62" s="67">
        <f t="shared" ref="P62:P80" si="41">J62+D62</f>
        <v>5000000.0000000009</v>
      </c>
      <c r="Q62" s="68">
        <f t="shared" ref="Q62:Q71" si="42">+P62/P$83%</f>
        <v>0.84070461671615426</v>
      </c>
      <c r="R62" s="67">
        <f t="shared" ref="R62:R80" si="43">L62+F62</f>
        <v>20000000.000000004</v>
      </c>
      <c r="S62" s="68">
        <f t="shared" ref="S62:S71" si="44">+R62/R$83%</f>
        <v>0.84070461671615426</v>
      </c>
    </row>
    <row r="63" spans="1:19" ht="28">
      <c r="A63" s="60" t="s">
        <v>176</v>
      </c>
      <c r="B63" s="94">
        <f t="shared" si="31"/>
        <v>0</v>
      </c>
      <c r="C63" s="136"/>
      <c r="D63" s="67">
        <f t="shared" si="25"/>
        <v>0</v>
      </c>
      <c r="E63" s="68">
        <f t="shared" si="32"/>
        <v>0</v>
      </c>
      <c r="F63" s="67">
        <f t="shared" si="33"/>
        <v>0</v>
      </c>
      <c r="G63" s="68">
        <f t="shared" si="34"/>
        <v>0</v>
      </c>
      <c r="H63" s="213">
        <v>15000000.000000002</v>
      </c>
      <c r="I63" s="219">
        <f t="shared" si="35"/>
        <v>5.8976202378898712</v>
      </c>
      <c r="J63" s="187">
        <f t="shared" si="26"/>
        <v>5000000.0000000009</v>
      </c>
      <c r="K63" s="186">
        <f t="shared" si="36"/>
        <v>5.8976202378898712</v>
      </c>
      <c r="L63" s="187">
        <f t="shared" si="37"/>
        <v>20000000.000000004</v>
      </c>
      <c r="M63" s="186">
        <f t="shared" si="38"/>
        <v>5.8976202378898712</v>
      </c>
      <c r="N63" s="67">
        <f t="shared" si="39"/>
        <v>15000000.000000002</v>
      </c>
      <c r="O63" s="68">
        <f t="shared" si="40"/>
        <v>0.84070461671615404</v>
      </c>
      <c r="P63" s="67">
        <f t="shared" si="41"/>
        <v>5000000.0000000009</v>
      </c>
      <c r="Q63" s="68">
        <f t="shared" si="42"/>
        <v>0.84070461671615426</v>
      </c>
      <c r="R63" s="67">
        <f t="shared" si="43"/>
        <v>20000000.000000004</v>
      </c>
      <c r="S63" s="68">
        <f t="shared" si="44"/>
        <v>0.84070461671615426</v>
      </c>
    </row>
    <row r="64" spans="1:19" ht="42">
      <c r="A64" s="60" t="s">
        <v>41</v>
      </c>
      <c r="B64" s="94">
        <f t="shared" si="31"/>
        <v>59721100.917293653</v>
      </c>
      <c r="C64" s="299">
        <v>3.9036518259129571</v>
      </c>
      <c r="D64" s="67">
        <f t="shared" si="25"/>
        <v>19907033.639097884</v>
      </c>
      <c r="E64" s="68">
        <f t="shared" si="32"/>
        <v>3.9036518247233833</v>
      </c>
      <c r="F64" s="67">
        <f t="shared" si="33"/>
        <v>79628134.556391537</v>
      </c>
      <c r="G64" s="68">
        <f t="shared" si="34"/>
        <v>3.9036518247233833</v>
      </c>
      <c r="H64" s="213">
        <v>7500000.0000000009</v>
      </c>
      <c r="I64" s="219">
        <f t="shared" si="35"/>
        <v>2.9488101189449356</v>
      </c>
      <c r="J64" s="187">
        <f t="shared" si="26"/>
        <v>2500000.0000000005</v>
      </c>
      <c r="K64" s="186">
        <f t="shared" si="36"/>
        <v>2.9488101189449356</v>
      </c>
      <c r="L64" s="187">
        <f t="shared" si="37"/>
        <v>10000000.000000002</v>
      </c>
      <c r="M64" s="186">
        <f t="shared" si="38"/>
        <v>2.9488101189449356</v>
      </c>
      <c r="N64" s="67">
        <f t="shared" si="39"/>
        <v>67221100.917293653</v>
      </c>
      <c r="O64" s="68">
        <f t="shared" si="40"/>
        <v>3.767539325460751</v>
      </c>
      <c r="P64" s="67">
        <f t="shared" si="41"/>
        <v>22407033.639097884</v>
      </c>
      <c r="Q64" s="68">
        <f t="shared" si="42"/>
        <v>3.7675393254607514</v>
      </c>
      <c r="R64" s="67">
        <f t="shared" si="43"/>
        <v>89628134.556391537</v>
      </c>
      <c r="S64" s="68">
        <f t="shared" si="44"/>
        <v>3.7675393254607514</v>
      </c>
    </row>
    <row r="65" spans="1:19" ht="28">
      <c r="A65" s="60" t="s">
        <v>42</v>
      </c>
      <c r="B65" s="94">
        <f t="shared" si="31"/>
        <v>30062097.885750003</v>
      </c>
      <c r="C65" s="299">
        <f>0.8+1.165</f>
        <v>1.9650000000000001</v>
      </c>
      <c r="D65" s="67">
        <f t="shared" si="25"/>
        <v>10020699.29525</v>
      </c>
      <c r="E65" s="68">
        <f t="shared" si="32"/>
        <v>1.9649999994011986</v>
      </c>
      <c r="F65" s="67">
        <f t="shared" si="33"/>
        <v>40082797.181000002</v>
      </c>
      <c r="G65" s="68">
        <f t="shared" si="34"/>
        <v>1.9649999994011986</v>
      </c>
      <c r="H65" s="213">
        <v>7500000.0000000009</v>
      </c>
      <c r="I65" s="219">
        <f t="shared" si="35"/>
        <v>2.9488101189449356</v>
      </c>
      <c r="J65" s="187">
        <f t="shared" si="26"/>
        <v>2500000.0000000005</v>
      </c>
      <c r="K65" s="186">
        <f t="shared" si="36"/>
        <v>2.9488101189449356</v>
      </c>
      <c r="L65" s="187">
        <f t="shared" si="37"/>
        <v>10000000.000000002</v>
      </c>
      <c r="M65" s="186">
        <f t="shared" si="38"/>
        <v>2.9488101189449356</v>
      </c>
      <c r="N65" s="67">
        <f t="shared" si="39"/>
        <v>37562097.885750003</v>
      </c>
      <c r="O65" s="68">
        <f t="shared" si="40"/>
        <v>2.1052419404062741</v>
      </c>
      <c r="P65" s="67">
        <f t="shared" si="41"/>
        <v>12520699.29525</v>
      </c>
      <c r="Q65" s="68">
        <f t="shared" si="42"/>
        <v>2.1052419404062745</v>
      </c>
      <c r="R65" s="67">
        <f t="shared" si="43"/>
        <v>50082797.181000002</v>
      </c>
      <c r="S65" s="68">
        <f t="shared" si="44"/>
        <v>2.1052419404062745</v>
      </c>
    </row>
    <row r="66" spans="1:19" ht="28">
      <c r="A66" s="60" t="s">
        <v>43</v>
      </c>
      <c r="B66" s="94">
        <f t="shared" si="31"/>
        <v>9714723.7442500014</v>
      </c>
      <c r="C66" s="299">
        <f>1.8-1.165</f>
        <v>0.63500000000000001</v>
      </c>
      <c r="D66" s="67">
        <f t="shared" si="25"/>
        <v>3238241.248083334</v>
      </c>
      <c r="E66" s="68">
        <f t="shared" si="32"/>
        <v>0.63499999980649435</v>
      </c>
      <c r="F66" s="67">
        <f t="shared" si="33"/>
        <v>12952964.992333336</v>
      </c>
      <c r="G66" s="68">
        <f t="shared" si="34"/>
        <v>0.63499999980649435</v>
      </c>
      <c r="H66" s="213"/>
      <c r="I66" s="186"/>
      <c r="J66" s="187">
        <f t="shared" si="26"/>
        <v>0</v>
      </c>
      <c r="K66" s="186">
        <f t="shared" si="36"/>
        <v>0</v>
      </c>
      <c r="L66" s="187">
        <f t="shared" si="37"/>
        <v>0</v>
      </c>
      <c r="M66" s="186">
        <f t="shared" si="38"/>
        <v>0</v>
      </c>
      <c r="N66" s="67">
        <f t="shared" si="39"/>
        <v>9714723.7442500014</v>
      </c>
      <c r="O66" s="68">
        <f t="shared" si="40"/>
        <v>0.54448087346086782</v>
      </c>
      <c r="P66" s="67">
        <f t="shared" si="41"/>
        <v>3238241.248083334</v>
      </c>
      <c r="Q66" s="68">
        <f t="shared" si="42"/>
        <v>0.54448087346086793</v>
      </c>
      <c r="R66" s="67">
        <f t="shared" si="43"/>
        <v>12952964.992333336</v>
      </c>
      <c r="S66" s="68">
        <f t="shared" si="44"/>
        <v>0.54448087346086793</v>
      </c>
    </row>
    <row r="67" spans="1:19" ht="28">
      <c r="A67" s="60" t="s">
        <v>44</v>
      </c>
      <c r="B67" s="94">
        <f t="shared" si="31"/>
        <v>12239022.039999999</v>
      </c>
      <c r="C67" s="299">
        <v>0.8</v>
      </c>
      <c r="D67" s="67">
        <f t="shared" si="25"/>
        <v>4079674.0133333332</v>
      </c>
      <c r="E67" s="68">
        <f t="shared" si="32"/>
        <v>0.79999999975621316</v>
      </c>
      <c r="F67" s="67">
        <f t="shared" si="33"/>
        <v>16318696.053333333</v>
      </c>
      <c r="G67" s="68">
        <f t="shared" si="34"/>
        <v>0.79999999975621316</v>
      </c>
      <c r="H67" s="213"/>
      <c r="I67" s="186"/>
      <c r="J67" s="187">
        <f t="shared" si="26"/>
        <v>0</v>
      </c>
      <c r="K67" s="186">
        <f t="shared" si="36"/>
        <v>0</v>
      </c>
      <c r="L67" s="187">
        <f t="shared" si="37"/>
        <v>0</v>
      </c>
      <c r="M67" s="186">
        <f t="shared" si="38"/>
        <v>0</v>
      </c>
      <c r="N67" s="67">
        <f t="shared" si="39"/>
        <v>12239022.039999999</v>
      </c>
      <c r="O67" s="68">
        <f t="shared" si="40"/>
        <v>0.68596015554125067</v>
      </c>
      <c r="P67" s="67">
        <f t="shared" si="41"/>
        <v>4079674.0133333332</v>
      </c>
      <c r="Q67" s="68">
        <f t="shared" si="42"/>
        <v>0.68596015554125078</v>
      </c>
      <c r="R67" s="67">
        <f t="shared" si="43"/>
        <v>16318696.053333333</v>
      </c>
      <c r="S67" s="68">
        <f t="shared" si="44"/>
        <v>0.68596015554125078</v>
      </c>
    </row>
    <row r="68" spans="1:19" s="24" customFormat="1">
      <c r="A68" s="100" t="s">
        <v>177</v>
      </c>
      <c r="B68" s="101">
        <f t="shared" si="31"/>
        <v>0</v>
      </c>
      <c r="C68" s="139">
        <v>0</v>
      </c>
      <c r="D68" s="110">
        <f t="shared" ref="D68" si="45">F68*D$2</f>
        <v>0</v>
      </c>
      <c r="E68" s="69">
        <f t="shared" si="32"/>
        <v>0</v>
      </c>
      <c r="F68" s="110">
        <f t="shared" si="33"/>
        <v>0</v>
      </c>
      <c r="G68" s="69">
        <f t="shared" si="34"/>
        <v>0</v>
      </c>
      <c r="H68" s="213">
        <f>5775000+93750</f>
        <v>5868750</v>
      </c>
      <c r="I68" s="219">
        <f t="shared" ref="I68:I72" si="46">+H68/H$83%</f>
        <v>2.3074439180744117</v>
      </c>
      <c r="J68" s="194">
        <f t="shared" ref="J68" si="47">L68*J$2</f>
        <v>1956250</v>
      </c>
      <c r="K68" s="188">
        <f t="shared" si="36"/>
        <v>2.3074439180744117</v>
      </c>
      <c r="L68" s="194">
        <f t="shared" si="37"/>
        <v>7825000</v>
      </c>
      <c r="M68" s="188">
        <f t="shared" si="38"/>
        <v>2.3074439180744117</v>
      </c>
      <c r="N68" s="110">
        <f t="shared" si="39"/>
        <v>5868750</v>
      </c>
      <c r="O68" s="69">
        <f t="shared" si="40"/>
        <v>0.32892568129019523</v>
      </c>
      <c r="P68" s="110">
        <f t="shared" si="41"/>
        <v>1956250</v>
      </c>
      <c r="Q68" s="69">
        <f t="shared" si="42"/>
        <v>0.32892568129019528</v>
      </c>
      <c r="R68" s="110">
        <f t="shared" si="43"/>
        <v>7825000</v>
      </c>
      <c r="S68" s="69">
        <f t="shared" si="44"/>
        <v>0.32892568129019528</v>
      </c>
    </row>
    <row r="69" spans="1:19" ht="28">
      <c r="A69" s="59" t="s">
        <v>45</v>
      </c>
      <c r="B69" s="93">
        <f>SUM(B70:B74)</f>
        <v>109440979.31704275</v>
      </c>
      <c r="C69" s="130">
        <f>SUM(C70:C74)</f>
        <v>7.1535767455513302</v>
      </c>
      <c r="D69" s="61">
        <f t="shared" si="25"/>
        <v>36480326.439014249</v>
      </c>
      <c r="E69" s="65">
        <f t="shared" si="32"/>
        <v>7.1535767433713948</v>
      </c>
      <c r="F69" s="61">
        <f t="shared" si="33"/>
        <v>145921305.75605699</v>
      </c>
      <c r="G69" s="65">
        <f t="shared" si="34"/>
        <v>7.1535767433713948</v>
      </c>
      <c r="H69" s="217">
        <f>SUM(H70:H74)</f>
        <v>64612500</v>
      </c>
      <c r="I69" s="184">
        <f>SUM(I70:I74)</f>
        <v>25.403999174710616</v>
      </c>
      <c r="J69" s="183">
        <f t="shared" si="26"/>
        <v>21537500</v>
      </c>
      <c r="K69" s="184">
        <f t="shared" si="36"/>
        <v>25.403999174710613</v>
      </c>
      <c r="L69" s="183">
        <f t="shared" si="37"/>
        <v>86150000</v>
      </c>
      <c r="M69" s="184">
        <f t="shared" si="38"/>
        <v>25.403999174710613</v>
      </c>
      <c r="N69" s="61">
        <f t="shared" si="39"/>
        <v>174053479.31704277</v>
      </c>
      <c r="O69" s="65">
        <f t="shared" si="40"/>
        <v>9.7551709078231656</v>
      </c>
      <c r="P69" s="61">
        <f t="shared" si="41"/>
        <v>58017826.439014249</v>
      </c>
      <c r="Q69" s="65">
        <f t="shared" si="42"/>
        <v>9.7551709078231656</v>
      </c>
      <c r="R69" s="61">
        <f t="shared" si="43"/>
        <v>232071305.75605699</v>
      </c>
      <c r="S69" s="65">
        <f t="shared" si="44"/>
        <v>9.7551709078231656</v>
      </c>
    </row>
    <row r="70" spans="1:19">
      <c r="A70" s="60" t="s">
        <v>46</v>
      </c>
      <c r="B70" s="94">
        <f>+C70*$B$85/100</f>
        <v>0</v>
      </c>
      <c r="C70" s="149"/>
      <c r="D70" s="67">
        <f t="shared" si="25"/>
        <v>0</v>
      </c>
      <c r="E70" s="71">
        <f t="shared" si="32"/>
        <v>0</v>
      </c>
      <c r="F70" s="67">
        <f t="shared" si="33"/>
        <v>0</v>
      </c>
      <c r="G70" s="71">
        <f t="shared" si="34"/>
        <v>0</v>
      </c>
      <c r="H70" s="215">
        <v>22912500</v>
      </c>
      <c r="I70" s="219">
        <f t="shared" si="46"/>
        <v>9.0086149133767766</v>
      </c>
      <c r="J70" s="187">
        <f t="shared" si="26"/>
        <v>7637500</v>
      </c>
      <c r="K70" s="196">
        <f t="shared" si="36"/>
        <v>9.0086149133767766</v>
      </c>
      <c r="L70" s="187">
        <f t="shared" si="37"/>
        <v>30550000</v>
      </c>
      <c r="M70" s="196">
        <f t="shared" si="38"/>
        <v>9.0086149133767766</v>
      </c>
      <c r="N70" s="67">
        <f t="shared" si="39"/>
        <v>22912500</v>
      </c>
      <c r="O70" s="71">
        <f t="shared" si="40"/>
        <v>1.2841763020339252</v>
      </c>
      <c r="P70" s="67">
        <f t="shared" si="41"/>
        <v>7637500</v>
      </c>
      <c r="Q70" s="71">
        <f t="shared" si="42"/>
        <v>1.2841763020339254</v>
      </c>
      <c r="R70" s="67">
        <f t="shared" si="43"/>
        <v>30550000</v>
      </c>
      <c r="S70" s="71">
        <f t="shared" si="44"/>
        <v>1.2841763020339254</v>
      </c>
    </row>
    <row r="71" spans="1:19" ht="28">
      <c r="A71" s="60" t="s">
        <v>47</v>
      </c>
      <c r="B71" s="94">
        <f>+C71*$B$85/100</f>
        <v>33712030.979999959</v>
      </c>
      <c r="C71" s="149">
        <f>2.50357678055133-1.3+0.6+0.4</f>
        <v>2.2035767805513298</v>
      </c>
      <c r="D71" s="67">
        <f t="shared" si="25"/>
        <v>11237343.659999987</v>
      </c>
      <c r="E71" s="71">
        <f t="shared" si="32"/>
        <v>2.203576779879826</v>
      </c>
      <c r="F71" s="67">
        <f t="shared" si="33"/>
        <v>44949374.639999948</v>
      </c>
      <c r="G71" s="71">
        <f t="shared" si="34"/>
        <v>2.203576779879826</v>
      </c>
      <c r="H71" s="215">
        <v>26700000</v>
      </c>
      <c r="I71" s="219">
        <f t="shared" si="46"/>
        <v>10.497764023443969</v>
      </c>
      <c r="J71" s="187">
        <f t="shared" si="26"/>
        <v>8900000</v>
      </c>
      <c r="K71" s="196">
        <f t="shared" si="36"/>
        <v>10.497764023443969</v>
      </c>
      <c r="L71" s="187">
        <f t="shared" si="37"/>
        <v>35600000</v>
      </c>
      <c r="M71" s="196">
        <f t="shared" si="38"/>
        <v>10.497764023443969</v>
      </c>
      <c r="N71" s="67">
        <f t="shared" si="39"/>
        <v>60412030.979999959</v>
      </c>
      <c r="O71" s="71">
        <f t="shared" si="40"/>
        <v>3.3859115566723523</v>
      </c>
      <c r="P71" s="67">
        <f t="shared" si="41"/>
        <v>20137343.659999989</v>
      </c>
      <c r="Q71" s="71">
        <f t="shared" si="42"/>
        <v>3.3859115566723532</v>
      </c>
      <c r="R71" s="67">
        <f t="shared" si="43"/>
        <v>80549374.639999956</v>
      </c>
      <c r="S71" s="71">
        <f t="shared" si="44"/>
        <v>3.3859115566723532</v>
      </c>
    </row>
    <row r="72" spans="1:19">
      <c r="A72" s="60" t="s">
        <v>48</v>
      </c>
      <c r="B72" s="94">
        <f>+C72*$B$85/100</f>
        <v>0</v>
      </c>
      <c r="C72" s="149"/>
      <c r="D72" s="67">
        <f t="shared" ref="D72:D83" si="48">F72*D$2</f>
        <v>0</v>
      </c>
      <c r="E72" s="71">
        <f t="shared" ref="E72:E83" si="49">+D72/D$83%</f>
        <v>0</v>
      </c>
      <c r="F72" s="67">
        <f t="shared" si="33"/>
        <v>0</v>
      </c>
      <c r="G72" s="71">
        <f t="shared" ref="G72:G83" si="50">+F72/F$83%</f>
        <v>0</v>
      </c>
      <c r="H72" s="215">
        <v>15000000</v>
      </c>
      <c r="I72" s="219">
        <f t="shared" si="46"/>
        <v>5.8976202378898703</v>
      </c>
      <c r="J72" s="187">
        <f t="shared" ref="J72:J83" si="51">L72*J$2</f>
        <v>5000000</v>
      </c>
      <c r="K72" s="196">
        <f t="shared" ref="K72:K83" si="52">+J72/J$83%</f>
        <v>5.8976202378898694</v>
      </c>
      <c r="L72" s="187">
        <f t="shared" si="37"/>
        <v>20000000</v>
      </c>
      <c r="M72" s="196">
        <f t="shared" ref="M72:M83" si="53">+L72/L$83%</f>
        <v>5.8976202378898694</v>
      </c>
      <c r="N72" s="67">
        <f t="shared" si="39"/>
        <v>15000000</v>
      </c>
      <c r="O72" s="71">
        <f t="shared" si="40"/>
        <v>0.84070461671615404</v>
      </c>
      <c r="P72" s="67">
        <f t="shared" si="41"/>
        <v>5000000</v>
      </c>
      <c r="Q72" s="71">
        <f t="shared" ref="Q72:Q83" si="54">+P72/P$83%</f>
        <v>0.84070461671615404</v>
      </c>
      <c r="R72" s="67">
        <f t="shared" si="43"/>
        <v>20000000</v>
      </c>
      <c r="S72" s="71">
        <f t="shared" ref="S72:S83" si="55">+R72/R$83%</f>
        <v>0.84070461671615404</v>
      </c>
    </row>
    <row r="73" spans="1:19" ht="28">
      <c r="A73" s="60" t="s">
        <v>49</v>
      </c>
      <c r="B73" s="94">
        <f>+C73*$B$85/100</f>
        <v>45131393.772500001</v>
      </c>
      <c r="C73" s="149">
        <f>3.25+0.3-0.6</f>
        <v>2.9499999999999997</v>
      </c>
      <c r="D73" s="67">
        <f t="shared" si="48"/>
        <v>15043797.924166666</v>
      </c>
      <c r="E73" s="71">
        <f t="shared" si="49"/>
        <v>2.9499999991010362</v>
      </c>
      <c r="F73" s="67">
        <f t="shared" si="33"/>
        <v>60175191.696666665</v>
      </c>
      <c r="G73" s="71">
        <f t="shared" si="50"/>
        <v>2.9499999991010362</v>
      </c>
      <c r="H73" s="213">
        <f t="shared" ref="H73:H74" si="56">$F$82*I73/100</f>
        <v>0</v>
      </c>
      <c r="I73" s="214"/>
      <c r="J73" s="187">
        <f t="shared" si="51"/>
        <v>0</v>
      </c>
      <c r="K73" s="196">
        <f t="shared" si="52"/>
        <v>0</v>
      </c>
      <c r="L73" s="187">
        <f t="shared" si="37"/>
        <v>0</v>
      </c>
      <c r="M73" s="196">
        <f t="shared" si="53"/>
        <v>0</v>
      </c>
      <c r="N73" s="67">
        <f t="shared" si="39"/>
        <v>45131393.772500001</v>
      </c>
      <c r="O73" s="71">
        <f t="shared" ref="O73:O83" si="57">+N73/N$83%</f>
        <v>2.5294780735583622</v>
      </c>
      <c r="P73" s="67">
        <f t="shared" si="41"/>
        <v>15043797.924166666</v>
      </c>
      <c r="Q73" s="71">
        <f t="shared" si="54"/>
        <v>2.5294780735583622</v>
      </c>
      <c r="R73" s="67">
        <f t="shared" si="43"/>
        <v>60175191.696666665</v>
      </c>
      <c r="S73" s="71">
        <f t="shared" si="55"/>
        <v>2.5294780735583622</v>
      </c>
    </row>
    <row r="74" spans="1:19" ht="28">
      <c r="A74" s="60" t="s">
        <v>50</v>
      </c>
      <c r="B74" s="94">
        <f>+C74*$B$85/100</f>
        <v>30597554.564542789</v>
      </c>
      <c r="C74" s="149">
        <f>1.399999965+1-0.4</f>
        <v>1.9999999650000002</v>
      </c>
      <c r="D74" s="67">
        <f t="shared" si="48"/>
        <v>10199184.854847597</v>
      </c>
      <c r="E74" s="71">
        <f t="shared" si="49"/>
        <v>1.9999999643905333</v>
      </c>
      <c r="F74" s="67">
        <f t="shared" si="33"/>
        <v>40796739.419390388</v>
      </c>
      <c r="G74" s="71">
        <f t="shared" si="50"/>
        <v>1.9999999643905333</v>
      </c>
      <c r="H74" s="213">
        <f t="shared" si="56"/>
        <v>0</v>
      </c>
      <c r="I74" s="214"/>
      <c r="J74" s="187">
        <f t="shared" si="51"/>
        <v>0</v>
      </c>
      <c r="K74" s="196">
        <f t="shared" si="52"/>
        <v>0</v>
      </c>
      <c r="L74" s="187">
        <f t="shared" si="37"/>
        <v>0</v>
      </c>
      <c r="M74" s="196">
        <f t="shared" si="53"/>
        <v>0</v>
      </c>
      <c r="N74" s="67">
        <f t="shared" si="39"/>
        <v>30597554.564542789</v>
      </c>
      <c r="O74" s="71">
        <f t="shared" si="57"/>
        <v>1.7149003588423701</v>
      </c>
      <c r="P74" s="67">
        <f t="shared" si="41"/>
        <v>10199184.854847597</v>
      </c>
      <c r="Q74" s="71">
        <f t="shared" si="54"/>
        <v>1.7149003588423706</v>
      </c>
      <c r="R74" s="67">
        <f t="shared" si="43"/>
        <v>40796739.419390388</v>
      </c>
      <c r="S74" s="71">
        <f t="shared" si="55"/>
        <v>1.7149003588423706</v>
      </c>
    </row>
    <row r="75" spans="1:19" ht="28">
      <c r="A75" s="59" t="s">
        <v>51</v>
      </c>
      <c r="B75" s="93">
        <f>SUM(B76:B80)</f>
        <v>0</v>
      </c>
      <c r="C75" s="130">
        <f>SUM(C76:C80)</f>
        <v>0</v>
      </c>
      <c r="D75" s="61">
        <f t="shared" si="48"/>
        <v>0</v>
      </c>
      <c r="E75" s="65">
        <f t="shared" si="49"/>
        <v>0</v>
      </c>
      <c r="F75" s="61">
        <f t="shared" si="33"/>
        <v>0</v>
      </c>
      <c r="G75" s="65">
        <f t="shared" si="50"/>
        <v>0</v>
      </c>
      <c r="H75" s="217">
        <f>SUM(H76:H80)</f>
        <v>12296126.192500001</v>
      </c>
      <c r="I75" s="218">
        <f>SUM(I76:I80)</f>
        <v>4.8345255120357145</v>
      </c>
      <c r="J75" s="183">
        <f t="shared" si="51"/>
        <v>4098708.7308333335</v>
      </c>
      <c r="K75" s="184">
        <f t="shared" si="52"/>
        <v>4.8345255120357145</v>
      </c>
      <c r="L75" s="183">
        <f t="shared" si="37"/>
        <v>16394834.923333334</v>
      </c>
      <c r="M75" s="184">
        <f t="shared" si="53"/>
        <v>4.8345255120357145</v>
      </c>
      <c r="N75" s="61">
        <f t="shared" si="39"/>
        <v>12296126.192500001</v>
      </c>
      <c r="O75" s="65">
        <f t="shared" si="57"/>
        <v>0.68916067051727836</v>
      </c>
      <c r="P75" s="61">
        <f t="shared" si="41"/>
        <v>4098708.7308333335</v>
      </c>
      <c r="Q75" s="65">
        <f t="shared" si="54"/>
        <v>0.68916067051727836</v>
      </c>
      <c r="R75" s="61">
        <f t="shared" si="43"/>
        <v>16394834.923333334</v>
      </c>
      <c r="S75" s="65">
        <f t="shared" si="55"/>
        <v>0.68916067051727836</v>
      </c>
    </row>
    <row r="76" spans="1:19">
      <c r="A76" s="60" t="s">
        <v>52</v>
      </c>
      <c r="B76" s="94">
        <f>+C76*$B$85/100</f>
        <v>0</v>
      </c>
      <c r="C76" s="136"/>
      <c r="D76" s="67">
        <f t="shared" si="48"/>
        <v>0</v>
      </c>
      <c r="E76" s="68">
        <f t="shared" si="49"/>
        <v>0</v>
      </c>
      <c r="F76" s="67">
        <f t="shared" si="33"/>
        <v>0</v>
      </c>
      <c r="G76" s="68">
        <f t="shared" si="50"/>
        <v>0</v>
      </c>
      <c r="H76" s="213">
        <v>2849671.48</v>
      </c>
      <c r="I76" s="219">
        <f t="shared" ref="I76:I78" si="58">+H76/H$83%</f>
        <v>1.1204186794523718</v>
      </c>
      <c r="J76" s="187">
        <f t="shared" si="51"/>
        <v>949890.49333333329</v>
      </c>
      <c r="K76" s="186">
        <f t="shared" si="52"/>
        <v>1.1204186794523718</v>
      </c>
      <c r="L76" s="187">
        <f t="shared" si="37"/>
        <v>3799561.9733333332</v>
      </c>
      <c r="M76" s="186">
        <f t="shared" si="53"/>
        <v>1.1204186794523718</v>
      </c>
      <c r="N76" s="67">
        <f t="shared" si="39"/>
        <v>2849671.48</v>
      </c>
      <c r="O76" s="68">
        <f t="shared" si="57"/>
        <v>0.1597154646240237</v>
      </c>
      <c r="P76" s="67">
        <f t="shared" si="41"/>
        <v>949890.49333333329</v>
      </c>
      <c r="Q76" s="68">
        <f t="shared" si="54"/>
        <v>0.1597154646240237</v>
      </c>
      <c r="R76" s="67">
        <f t="shared" si="43"/>
        <v>3799561.9733333332</v>
      </c>
      <c r="S76" s="68">
        <f t="shared" si="55"/>
        <v>0.1597154646240237</v>
      </c>
    </row>
    <row r="77" spans="1:19">
      <c r="A77" s="60" t="s">
        <v>53</v>
      </c>
      <c r="B77" s="94">
        <f>+C77*$B$85/100</f>
        <v>0</v>
      </c>
      <c r="C77" s="136"/>
      <c r="D77" s="67">
        <f t="shared" si="48"/>
        <v>0</v>
      </c>
      <c r="E77" s="68">
        <f t="shared" si="49"/>
        <v>0</v>
      </c>
      <c r="F77" s="67">
        <f t="shared" si="33"/>
        <v>0</v>
      </c>
      <c r="G77" s="68">
        <f t="shared" si="50"/>
        <v>0</v>
      </c>
      <c r="H77" s="213">
        <f>9540204.7125-93750</f>
        <v>9446454.7125000004</v>
      </c>
      <c r="I77" s="219">
        <f t="shared" si="58"/>
        <v>3.7141068325833424</v>
      </c>
      <c r="J77" s="187">
        <f t="shared" si="51"/>
        <v>3148818.2375000003</v>
      </c>
      <c r="K77" s="186">
        <f t="shared" si="52"/>
        <v>3.7141068325833424</v>
      </c>
      <c r="L77" s="187">
        <f t="shared" si="37"/>
        <v>12595272.950000001</v>
      </c>
      <c r="M77" s="186">
        <f t="shared" si="53"/>
        <v>3.7141068325833424</v>
      </c>
      <c r="N77" s="67">
        <f t="shared" si="39"/>
        <v>9446454.7125000004</v>
      </c>
      <c r="O77" s="68">
        <f t="shared" si="57"/>
        <v>0.52944520589325461</v>
      </c>
      <c r="P77" s="67">
        <f t="shared" si="41"/>
        <v>3148818.2375000003</v>
      </c>
      <c r="Q77" s="68">
        <f t="shared" si="54"/>
        <v>0.52944520589325472</v>
      </c>
      <c r="R77" s="67">
        <f t="shared" si="43"/>
        <v>12595272.950000001</v>
      </c>
      <c r="S77" s="68">
        <f t="shared" si="55"/>
        <v>0.52944520589325472</v>
      </c>
    </row>
    <row r="78" spans="1:19">
      <c r="A78" s="60" t="s">
        <v>54</v>
      </c>
      <c r="B78" s="94">
        <f>+C78*$B$85/100</f>
        <v>0</v>
      </c>
      <c r="C78" s="136"/>
      <c r="D78" s="67">
        <f t="shared" si="48"/>
        <v>0</v>
      </c>
      <c r="E78" s="68">
        <f t="shared" si="49"/>
        <v>0</v>
      </c>
      <c r="F78" s="67">
        <f t="shared" si="33"/>
        <v>0</v>
      </c>
      <c r="G78" s="68">
        <f t="shared" si="50"/>
        <v>0</v>
      </c>
      <c r="H78" s="213"/>
      <c r="I78" s="219">
        <f t="shared" si="58"/>
        <v>0</v>
      </c>
      <c r="J78" s="187">
        <f t="shared" si="51"/>
        <v>0</v>
      </c>
      <c r="K78" s="186">
        <f t="shared" si="52"/>
        <v>0</v>
      </c>
      <c r="L78" s="187">
        <f t="shared" si="37"/>
        <v>0</v>
      </c>
      <c r="M78" s="186">
        <f t="shared" si="53"/>
        <v>0</v>
      </c>
      <c r="N78" s="67">
        <f t="shared" si="39"/>
        <v>0</v>
      </c>
      <c r="O78" s="68">
        <f t="shared" si="57"/>
        <v>0</v>
      </c>
      <c r="P78" s="67">
        <f t="shared" si="41"/>
        <v>0</v>
      </c>
      <c r="Q78" s="68">
        <f t="shared" si="54"/>
        <v>0</v>
      </c>
      <c r="R78" s="67">
        <f t="shared" si="43"/>
        <v>0</v>
      </c>
      <c r="S78" s="68">
        <f t="shared" si="55"/>
        <v>0</v>
      </c>
    </row>
    <row r="79" spans="1:19" ht="28">
      <c r="A79" s="60" t="s">
        <v>55</v>
      </c>
      <c r="B79" s="94">
        <f>+C79*$B$85/100</f>
        <v>0</v>
      </c>
      <c r="C79" s="136"/>
      <c r="D79" s="67">
        <f t="shared" si="48"/>
        <v>0</v>
      </c>
      <c r="E79" s="68">
        <f t="shared" si="49"/>
        <v>0</v>
      </c>
      <c r="F79" s="67">
        <f t="shared" si="33"/>
        <v>0</v>
      </c>
      <c r="G79" s="68">
        <f t="shared" si="50"/>
        <v>0</v>
      </c>
      <c r="H79" s="213"/>
      <c r="I79" s="219">
        <f>+H79/H$83%</f>
        <v>0</v>
      </c>
      <c r="J79" s="187">
        <f t="shared" si="51"/>
        <v>0</v>
      </c>
      <c r="K79" s="186">
        <f t="shared" si="52"/>
        <v>0</v>
      </c>
      <c r="L79" s="187">
        <f t="shared" si="37"/>
        <v>0</v>
      </c>
      <c r="M79" s="186">
        <f t="shared" si="53"/>
        <v>0</v>
      </c>
      <c r="N79" s="67">
        <f t="shared" si="39"/>
        <v>0</v>
      </c>
      <c r="O79" s="68">
        <f t="shared" si="57"/>
        <v>0</v>
      </c>
      <c r="P79" s="67">
        <f t="shared" si="41"/>
        <v>0</v>
      </c>
      <c r="Q79" s="68">
        <f t="shared" si="54"/>
        <v>0</v>
      </c>
      <c r="R79" s="67">
        <f t="shared" si="43"/>
        <v>0</v>
      </c>
      <c r="S79" s="68">
        <f t="shared" si="55"/>
        <v>0</v>
      </c>
    </row>
    <row r="80" spans="1:19" ht="28">
      <c r="A80" s="60" t="s">
        <v>56</v>
      </c>
      <c r="B80" s="94">
        <f>+C80*$B$85/100</f>
        <v>0</v>
      </c>
      <c r="C80" s="136">
        <v>0</v>
      </c>
      <c r="D80" s="67">
        <f t="shared" si="48"/>
        <v>0</v>
      </c>
      <c r="E80" s="68">
        <f t="shared" si="49"/>
        <v>0</v>
      </c>
      <c r="F80" s="67">
        <f t="shared" si="33"/>
        <v>0</v>
      </c>
      <c r="G80" s="68">
        <f t="shared" si="50"/>
        <v>0</v>
      </c>
      <c r="H80" s="213">
        <v>0</v>
      </c>
      <c r="I80" s="219">
        <f t="shared" ref="I80" si="59">+H80/H$83%</f>
        <v>0</v>
      </c>
      <c r="J80" s="187">
        <f t="shared" si="51"/>
        <v>0</v>
      </c>
      <c r="K80" s="186">
        <f t="shared" si="52"/>
        <v>0</v>
      </c>
      <c r="L80" s="187">
        <f t="shared" si="37"/>
        <v>0</v>
      </c>
      <c r="M80" s="186">
        <f t="shared" si="53"/>
        <v>0</v>
      </c>
      <c r="N80" s="67">
        <f t="shared" si="39"/>
        <v>0</v>
      </c>
      <c r="O80" s="68">
        <f t="shared" si="57"/>
        <v>0</v>
      </c>
      <c r="P80" s="67">
        <f t="shared" si="41"/>
        <v>0</v>
      </c>
      <c r="Q80" s="68">
        <f t="shared" si="54"/>
        <v>0</v>
      </c>
      <c r="R80" s="67">
        <f t="shared" si="43"/>
        <v>0</v>
      </c>
      <c r="S80" s="68">
        <f t="shared" si="55"/>
        <v>0</v>
      </c>
    </row>
    <row r="81" spans="1:19" s="91" customFormat="1">
      <c r="A81" s="88" t="s">
        <v>160</v>
      </c>
      <c r="B81" s="95">
        <f t="shared" ref="B81:C81" si="60">B75+B69+B61+B53+B47+B38+B34+B27+B18+B14+B8</f>
        <v>1478626850.6737049</v>
      </c>
      <c r="C81" s="155">
        <f t="shared" si="60"/>
        <v>96.650000030473336</v>
      </c>
      <c r="D81" s="89">
        <f t="shared" ref="D81:S81" si="61">D75+D69+D61+D53+D47+D38+D34+D27+D18+D14+D8</f>
        <v>492875616.89123499</v>
      </c>
      <c r="E81" s="90">
        <f t="shared" si="61"/>
        <v>96.650000001020842</v>
      </c>
      <c r="F81" s="89">
        <f t="shared" si="61"/>
        <v>1971502467.56494</v>
      </c>
      <c r="G81" s="90">
        <f t="shared" si="61"/>
        <v>96.650000001020842</v>
      </c>
      <c r="H81" s="220">
        <f>H75+H69+H61+H53+H47+H38+H34+H27+H18+H14+H8</f>
        <v>254339876.1925</v>
      </c>
      <c r="I81" s="221">
        <f t="shared" ref="I81" si="62">I75+I69+I61+I53+I47+I38+I34+I27+I18+I14+I8</f>
        <v>100.00000007568615</v>
      </c>
      <c r="J81" s="197">
        <f t="shared" si="61"/>
        <v>84779958.730833337</v>
      </c>
      <c r="K81" s="198">
        <f t="shared" si="61"/>
        <v>100.00000007568613</v>
      </c>
      <c r="L81" s="197">
        <f t="shared" si="61"/>
        <v>339119834.92333335</v>
      </c>
      <c r="M81" s="198">
        <f t="shared" si="61"/>
        <v>100.00000007568613</v>
      </c>
      <c r="N81" s="89">
        <f t="shared" si="61"/>
        <v>1732966726.866205</v>
      </c>
      <c r="O81" s="90">
        <f t="shared" si="61"/>
        <v>97.127541859460052</v>
      </c>
      <c r="P81" s="89">
        <f t="shared" si="61"/>
        <v>577655575.62206841</v>
      </c>
      <c r="Q81" s="90">
        <f t="shared" si="61"/>
        <v>97.127541859460052</v>
      </c>
      <c r="R81" s="89">
        <f t="shared" si="61"/>
        <v>2310622302.4882736</v>
      </c>
      <c r="S81" s="90">
        <f t="shared" si="61"/>
        <v>97.127541859460052</v>
      </c>
    </row>
    <row r="82" spans="1:19">
      <c r="A82" s="59" t="s">
        <v>57</v>
      </c>
      <c r="B82" s="93">
        <f>+C82*$B$85/100</f>
        <v>51250904.792499997</v>
      </c>
      <c r="C82" s="158">
        <f>4-0.4-0.25</f>
        <v>3.35</v>
      </c>
      <c r="D82" s="61">
        <f t="shared" si="48"/>
        <v>17083634.930833332</v>
      </c>
      <c r="E82" s="66">
        <f>+D82/D$83%</f>
        <v>3.3499999989791425</v>
      </c>
      <c r="F82" s="61">
        <f>$B82/(1-$D$2)</f>
        <v>68334539.723333329</v>
      </c>
      <c r="G82" s="66">
        <f t="shared" si="50"/>
        <v>3.3499999989791425</v>
      </c>
      <c r="H82" s="181"/>
      <c r="I82" s="182"/>
      <c r="J82" s="183">
        <f t="shared" si="51"/>
        <v>0</v>
      </c>
      <c r="K82" s="182">
        <f t="shared" si="52"/>
        <v>0</v>
      </c>
      <c r="L82" s="183">
        <f>H82/(1-$D$2)</f>
        <v>0</v>
      </c>
      <c r="M82" s="182">
        <f t="shared" si="53"/>
        <v>0</v>
      </c>
      <c r="N82" s="61">
        <f>B82+H82</f>
        <v>51250904.792499997</v>
      </c>
      <c r="O82" s="66">
        <f t="shared" si="57"/>
        <v>2.8724581513289871</v>
      </c>
      <c r="P82" s="61">
        <f>J82+D82</f>
        <v>17083634.930833332</v>
      </c>
      <c r="Q82" s="66">
        <f t="shared" si="54"/>
        <v>2.8724581513289875</v>
      </c>
      <c r="R82" s="61">
        <f>L82+F82</f>
        <v>68334539.723333329</v>
      </c>
      <c r="S82" s="66">
        <f t="shared" si="55"/>
        <v>2.8724581513289875</v>
      </c>
    </row>
    <row r="83" spans="1:19" s="22" customFormat="1">
      <c r="A83" s="21" t="s">
        <v>58</v>
      </c>
      <c r="B83" s="96">
        <f>+B82+B75+B69+B61+B53+B47+B38+B34+B27+B18+B14+B8</f>
        <v>1529877755.4662049</v>
      </c>
      <c r="C83" s="144">
        <f>+C82+C75+C69+C61+C53++C47+C38+C34+C27+C18+C14+C8</f>
        <v>100.00000003047333</v>
      </c>
      <c r="D83" s="62">
        <f t="shared" si="48"/>
        <v>509959251.82206833</v>
      </c>
      <c r="E83" s="70">
        <f t="shared" si="49"/>
        <v>100</v>
      </c>
      <c r="F83" s="62">
        <f>+F82+F75+F69+F61+F53++F47+F38+F34+F27+F18+F14+F8</f>
        <v>2039837007.2882733</v>
      </c>
      <c r="G83" s="70">
        <f t="shared" si="50"/>
        <v>100</v>
      </c>
      <c r="H83" s="189">
        <v>254339876</v>
      </c>
      <c r="I83" s="190">
        <f>SUM(I53,I61,I69,I75)</f>
        <v>100.00000007568615</v>
      </c>
      <c r="J83" s="199">
        <f t="shared" si="51"/>
        <v>84779958.666666672</v>
      </c>
      <c r="K83" s="190">
        <f t="shared" si="52"/>
        <v>100</v>
      </c>
      <c r="L83" s="199">
        <f>H83/(1-$D$2)</f>
        <v>339119834.66666669</v>
      </c>
      <c r="M83" s="190">
        <f t="shared" si="53"/>
        <v>100</v>
      </c>
      <c r="N83" s="62">
        <f>B83+H83</f>
        <v>1784217631.4662049</v>
      </c>
      <c r="O83" s="70">
        <f t="shared" si="57"/>
        <v>99.999999999999986</v>
      </c>
      <c r="P83" s="62">
        <f>J83+D83</f>
        <v>594739210.48873496</v>
      </c>
      <c r="Q83" s="70">
        <f t="shared" si="54"/>
        <v>100</v>
      </c>
      <c r="R83" s="62">
        <f>L83+F83</f>
        <v>2378956841.9549398</v>
      </c>
      <c r="S83" s="70">
        <f t="shared" si="55"/>
        <v>100</v>
      </c>
    </row>
    <row r="84" spans="1:19">
      <c r="B84" s="72">
        <f>B83/$F83</f>
        <v>0.74999999999999989</v>
      </c>
      <c r="C84" s="165"/>
      <c r="D84" s="72">
        <f>D83/$F83</f>
        <v>0.25</v>
      </c>
      <c r="F84" s="72">
        <f>F83/$F83</f>
        <v>1</v>
      </c>
      <c r="G84" s="63"/>
      <c r="H84" s="200">
        <f>H83/$L83</f>
        <v>0.75</v>
      </c>
      <c r="J84" s="200">
        <f>J83/$L83</f>
        <v>0.25</v>
      </c>
      <c r="L84" s="200">
        <f>L83/$L83</f>
        <v>1</v>
      </c>
      <c r="M84" s="201"/>
      <c r="N84" s="72">
        <f>+N83/$R83</f>
        <v>0.75</v>
      </c>
      <c r="P84" s="72">
        <f>+P83/$R83</f>
        <v>0.25</v>
      </c>
      <c r="R84" s="72">
        <f>+R83/$R83</f>
        <v>1</v>
      </c>
      <c r="S84" s="63"/>
    </row>
    <row r="85" spans="1:19" s="13" customFormat="1" hidden="1">
      <c r="A85" s="17"/>
      <c r="B85" s="64">
        <v>1529877755</v>
      </c>
      <c r="C85" s="165"/>
      <c r="D85" s="73"/>
      <c r="E85" s="73"/>
      <c r="M85" s="174"/>
      <c r="N85" s="174"/>
      <c r="O85" s="174"/>
      <c r="P85" s="174"/>
      <c r="Q85" s="174"/>
      <c r="R85" s="174"/>
      <c r="S85" s="174"/>
    </row>
    <row r="86" spans="1:19" s="13" customFormat="1" ht="42" hidden="1">
      <c r="A86" s="17"/>
      <c r="B86" s="64"/>
      <c r="C86" s="14"/>
      <c r="D86" s="15"/>
      <c r="E86" s="15" t="s">
        <v>184</v>
      </c>
      <c r="F86" s="111">
        <f>F83*G86</f>
        <v>81593480.291530937</v>
      </c>
      <c r="G86" s="13">
        <v>0.04</v>
      </c>
      <c r="H86" s="229">
        <v>254339876</v>
      </c>
      <c r="I86" s="175"/>
      <c r="J86" s="177"/>
      <c r="K86" s="177"/>
      <c r="L86" s="174"/>
      <c r="M86" s="174"/>
      <c r="O86" s="14"/>
      <c r="P86" s="15"/>
      <c r="Q86" s="15"/>
      <c r="R86" s="86"/>
    </row>
    <row r="87" spans="1:19" hidden="1">
      <c r="C87" s="74"/>
    </row>
    <row r="88" spans="1:19" hidden="1"/>
    <row r="89" spans="1:19" hidden="1">
      <c r="B89" s="14"/>
    </row>
    <row r="90" spans="1:19" hidden="1"/>
    <row r="92" spans="1:19" hidden="1">
      <c r="B92" s="64">
        <f>B8+B14+B18+B27</f>
        <v>776030681.84490335</v>
      </c>
    </row>
    <row r="93" spans="1:19" hidden="1">
      <c r="B93" s="72">
        <f>+B92/B85</f>
        <v>0.50725012459894436</v>
      </c>
    </row>
  </sheetData>
  <mergeCells count="13">
    <mergeCell ref="B4:G4"/>
    <mergeCell ref="D5:E6"/>
    <mergeCell ref="J5:K6"/>
    <mergeCell ref="A4:A7"/>
    <mergeCell ref="N4:S4"/>
    <mergeCell ref="N5:O6"/>
    <mergeCell ref="R5:S6"/>
    <mergeCell ref="F5:G6"/>
    <mergeCell ref="H5:I6"/>
    <mergeCell ref="H4:M4"/>
    <mergeCell ref="B5:C6"/>
    <mergeCell ref="L5:M6"/>
    <mergeCell ref="P5:Q6"/>
  </mergeCells>
  <phoneticPr fontId="2" type="noConversion"/>
  <printOptions gridLines="1"/>
  <pageMargins left="0.25" right="0.25" top="0.75000000000000011" bottom="0.75000000000000011" header="0.30000000000000004" footer="0.30000000000000004"/>
  <pageSetup paperSize="9" scale="26" fitToWidth="3" orientation="landscape"/>
  <headerFooter alignWithMargins="0"/>
  <extLst>
    <ext xmlns:mx="http://schemas.microsoft.com/office/mac/excel/2008/main" uri="{64002731-A6B0-56B0-2670-7721B7C09600}">
      <mx:PLV Mode="0" OnePage="0" WScale="43"/>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pageSetUpPr fitToPage="1"/>
  </sheetPr>
  <dimension ref="A1:S178"/>
  <sheetViews>
    <sheetView topLeftCell="G14" zoomScale="125" zoomScaleNormal="125" zoomScalePageLayoutView="125" workbookViewId="0">
      <selection activeCell="F41" sqref="F41:F43"/>
    </sheetView>
  </sheetViews>
  <sheetFormatPr baseColWidth="10" defaultRowHeight="14" x14ac:dyDescent="0"/>
  <cols>
    <col min="1" max="1" width="12.83203125" style="245" customWidth="1"/>
    <col min="2" max="2" width="11.1640625" style="233" bestFit="1" customWidth="1"/>
    <col min="3" max="3" width="7.1640625" style="234" bestFit="1" customWidth="1"/>
    <col min="4" max="4" width="7.83203125" style="234" customWidth="1"/>
    <col min="5" max="5" width="40.6640625" style="235" customWidth="1"/>
    <col min="6" max="6" width="16.1640625" style="233" bestFit="1" customWidth="1"/>
    <col min="7" max="7" width="10.1640625" style="246" bestFit="1" customWidth="1"/>
    <col min="8" max="8" width="37.6640625" style="236" customWidth="1"/>
    <col min="9" max="9" width="12.5" style="238" customWidth="1"/>
    <col min="10" max="10" width="8.83203125" style="237" customWidth="1"/>
    <col min="11" max="11" width="80.6640625" style="236" customWidth="1"/>
    <col min="12" max="12" width="7.6640625" style="241" hidden="1" customWidth="1"/>
    <col min="13" max="13" width="6.33203125" style="233" hidden="1" customWidth="1"/>
    <col min="14" max="14" width="11.83203125" style="238" bestFit="1" customWidth="1"/>
    <col min="15" max="15" width="8" style="246" customWidth="1"/>
    <col min="16" max="16" width="4.1640625" style="233" bestFit="1" customWidth="1"/>
    <col min="17" max="16384" width="10.83203125" style="233"/>
  </cols>
  <sheetData>
    <row r="1" spans="1:19" s="242" customFormat="1">
      <c r="A1" s="232" t="s">
        <v>415</v>
      </c>
      <c r="B1" s="233"/>
      <c r="C1" s="234"/>
      <c r="D1" s="234"/>
      <c r="E1" s="235"/>
      <c r="F1" s="236"/>
      <c r="G1" s="237"/>
      <c r="H1" s="236"/>
      <c r="I1" s="238"/>
      <c r="J1" s="237"/>
      <c r="K1" s="239"/>
      <c r="L1" s="240"/>
      <c r="M1" s="233"/>
      <c r="N1" s="238"/>
      <c r="O1" s="237"/>
    </row>
    <row r="2" spans="1:19" s="242" customFormat="1">
      <c r="A2" s="232" t="s">
        <v>187</v>
      </c>
      <c r="B2" s="233"/>
      <c r="C2" s="234"/>
      <c r="D2" s="234"/>
      <c r="E2" s="235"/>
      <c r="F2" s="236"/>
      <c r="G2" s="237"/>
      <c r="H2" s="236"/>
      <c r="I2" s="238"/>
      <c r="J2" s="237"/>
      <c r="K2" s="239"/>
      <c r="L2" s="240"/>
      <c r="M2" s="233"/>
      <c r="N2" s="238"/>
      <c r="O2" s="237"/>
    </row>
    <row r="3" spans="1:19" s="243" customFormat="1">
      <c r="A3" s="370" t="s">
        <v>188</v>
      </c>
      <c r="B3" s="371"/>
      <c r="C3" s="371"/>
      <c r="D3" s="372"/>
      <c r="E3" s="388" t="s">
        <v>189</v>
      </c>
      <c r="F3" s="388"/>
      <c r="G3" s="388"/>
      <c r="H3" s="388" t="s">
        <v>190</v>
      </c>
      <c r="I3" s="388"/>
      <c r="J3" s="388"/>
      <c r="K3" s="389" t="s">
        <v>298</v>
      </c>
      <c r="L3" s="389"/>
      <c r="M3" s="389"/>
      <c r="N3" s="389"/>
      <c r="O3" s="389"/>
      <c r="P3" s="242"/>
      <c r="Q3" s="242"/>
      <c r="R3" s="242"/>
      <c r="S3" s="242"/>
    </row>
    <row r="4" spans="1:19" s="298" customFormat="1" ht="28">
      <c r="A4" s="244" t="s">
        <v>191</v>
      </c>
      <c r="B4" s="291" t="s">
        <v>192</v>
      </c>
      <c r="C4" s="292" t="s">
        <v>402</v>
      </c>
      <c r="D4" s="292" t="s">
        <v>395</v>
      </c>
      <c r="E4" s="244" t="s">
        <v>191</v>
      </c>
      <c r="F4" s="291" t="s">
        <v>192</v>
      </c>
      <c r="G4" s="292" t="s">
        <v>1</v>
      </c>
      <c r="H4" s="293" t="s">
        <v>191</v>
      </c>
      <c r="I4" s="291" t="s">
        <v>192</v>
      </c>
      <c r="J4" s="292" t="s">
        <v>1</v>
      </c>
      <c r="K4" s="244" t="s">
        <v>191</v>
      </c>
      <c r="L4" s="244" t="s">
        <v>299</v>
      </c>
      <c r="M4" s="294" t="s">
        <v>300</v>
      </c>
      <c r="N4" s="295" t="s">
        <v>192</v>
      </c>
      <c r="O4" s="296" t="s">
        <v>1</v>
      </c>
      <c r="P4" s="297"/>
      <c r="Q4" s="297"/>
      <c r="R4" s="297"/>
      <c r="S4" s="297"/>
    </row>
    <row r="5" spans="1:19" ht="6" customHeight="1">
      <c r="P5" s="242"/>
      <c r="Q5" s="242"/>
      <c r="R5" s="242"/>
      <c r="S5" s="242"/>
    </row>
    <row r="6" spans="1:19" ht="62" customHeight="1">
      <c r="A6" s="424" t="s">
        <v>412</v>
      </c>
      <c r="B6" s="427">
        <f>SUM(F6:F15)</f>
        <v>210213416.97487947</v>
      </c>
      <c r="C6" s="430">
        <f>+B6/B$75</f>
        <v>0.10305402648534838</v>
      </c>
      <c r="D6" s="365">
        <f>B6/B$123</f>
        <v>8.8363695063695971E-2</v>
      </c>
      <c r="E6" s="300" t="s">
        <v>301</v>
      </c>
      <c r="F6" s="247">
        <f>SUM(I6)</f>
        <v>38867108.414879508</v>
      </c>
      <c r="G6" s="248">
        <f>+F6/F$75</f>
        <v>1.9054026510946002E-2</v>
      </c>
      <c r="H6" s="306" t="s">
        <v>193</v>
      </c>
      <c r="I6" s="249">
        <f>'PF_POR FESR'!F10</f>
        <v>38867108.414879508</v>
      </c>
      <c r="J6" s="315">
        <f>+I6/I$75</f>
        <v>1.9054026510946002E-2</v>
      </c>
      <c r="K6" s="306" t="s">
        <v>194</v>
      </c>
      <c r="L6" s="301">
        <f>SUM(M6:M6)</f>
        <v>1</v>
      </c>
      <c r="M6" s="250">
        <v>1</v>
      </c>
      <c r="N6" s="314">
        <f>+M6*I6</f>
        <v>38867108.414879508</v>
      </c>
      <c r="O6" s="248">
        <f t="shared" ref="O6:O69" si="0">+N6/N$75</f>
        <v>1.9054026510946002E-2</v>
      </c>
      <c r="P6" s="242"/>
      <c r="Q6" s="242"/>
      <c r="R6" s="242"/>
      <c r="S6" s="242"/>
    </row>
    <row r="7" spans="1:19" ht="56">
      <c r="A7" s="425"/>
      <c r="B7" s="428"/>
      <c r="C7" s="431"/>
      <c r="D7" s="366"/>
      <c r="E7" s="433" t="s">
        <v>195</v>
      </c>
      <c r="F7" s="434">
        <f>SUM(I7:I15)</f>
        <v>171346308.55999997</v>
      </c>
      <c r="G7" s="435">
        <f>+F7/F$75</f>
        <v>8.3999999974402398E-2</v>
      </c>
      <c r="H7" s="400" t="s">
        <v>196</v>
      </c>
      <c r="I7" s="401">
        <f>'PF_POR FESR'!F6</f>
        <v>61195110.199999996</v>
      </c>
      <c r="J7" s="402">
        <f>+I7/I$75</f>
        <v>2.9999999990857999E-2</v>
      </c>
      <c r="K7" s="306" t="s">
        <v>197</v>
      </c>
      <c r="L7" s="393">
        <f>SUM(M7:M9)</f>
        <v>1</v>
      </c>
      <c r="M7" s="250">
        <v>0.3</v>
      </c>
      <c r="N7" s="314">
        <f>+M7*I7</f>
        <v>18358533.059999999</v>
      </c>
      <c r="O7" s="248">
        <f t="shared" si="0"/>
        <v>8.9999999972573998E-3</v>
      </c>
      <c r="P7" s="242"/>
      <c r="Q7" s="242"/>
      <c r="R7" s="242"/>
      <c r="S7" s="242"/>
    </row>
    <row r="8" spans="1:19" ht="28">
      <c r="A8" s="425"/>
      <c r="B8" s="428"/>
      <c r="C8" s="431"/>
      <c r="D8" s="366"/>
      <c r="E8" s="433" t="s">
        <v>195</v>
      </c>
      <c r="F8" s="434"/>
      <c r="G8" s="435"/>
      <c r="H8" s="400"/>
      <c r="I8" s="401"/>
      <c r="J8" s="402"/>
      <c r="K8" s="306" t="s">
        <v>302</v>
      </c>
      <c r="L8" s="394"/>
      <c r="M8" s="250">
        <v>0.5</v>
      </c>
      <c r="N8" s="314">
        <f>+M8*I7</f>
        <v>30597555.099999998</v>
      </c>
      <c r="O8" s="248">
        <f t="shared" si="0"/>
        <v>1.4999999995428998E-2</v>
      </c>
      <c r="P8" s="242"/>
      <c r="Q8" s="242"/>
      <c r="R8" s="242"/>
      <c r="S8" s="242"/>
    </row>
    <row r="9" spans="1:19" ht="28">
      <c r="A9" s="425"/>
      <c r="B9" s="428"/>
      <c r="C9" s="431"/>
      <c r="D9" s="366"/>
      <c r="E9" s="433" t="s">
        <v>195</v>
      </c>
      <c r="F9" s="434"/>
      <c r="G9" s="435"/>
      <c r="H9" s="400"/>
      <c r="I9" s="401"/>
      <c r="J9" s="402"/>
      <c r="K9" s="306" t="s">
        <v>198</v>
      </c>
      <c r="L9" s="394"/>
      <c r="M9" s="250">
        <v>0.2</v>
      </c>
      <c r="N9" s="314">
        <f>+M9*I7</f>
        <v>12239022.039999999</v>
      </c>
      <c r="O9" s="248">
        <f t="shared" si="0"/>
        <v>5.999999998171599E-3</v>
      </c>
      <c r="P9" s="242"/>
      <c r="Q9" s="242"/>
      <c r="R9" s="242"/>
      <c r="S9" s="242"/>
    </row>
    <row r="10" spans="1:19" ht="42">
      <c r="A10" s="425"/>
      <c r="B10" s="428"/>
      <c r="C10" s="431"/>
      <c r="D10" s="366"/>
      <c r="E10" s="433" t="s">
        <v>195</v>
      </c>
      <c r="F10" s="434"/>
      <c r="G10" s="435"/>
      <c r="H10" s="400" t="s">
        <v>199</v>
      </c>
      <c r="I10" s="401">
        <f>'PF_POR FESR'!F7</f>
        <v>48956088.159999996</v>
      </c>
      <c r="J10" s="402">
        <f>+I10/I$75</f>
        <v>2.3999999992686399E-2</v>
      </c>
      <c r="K10" s="306" t="s">
        <v>303</v>
      </c>
      <c r="L10" s="393">
        <f>SUM(M10:M11)</f>
        <v>1</v>
      </c>
      <c r="M10" s="250">
        <v>0.1</v>
      </c>
      <c r="N10" s="314">
        <f>+I10*M10</f>
        <v>4895608.8159999996</v>
      </c>
      <c r="O10" s="248">
        <f t="shared" si="0"/>
        <v>2.3999999992686395E-3</v>
      </c>
      <c r="P10" s="242"/>
      <c r="Q10" s="242"/>
      <c r="R10" s="242"/>
      <c r="S10" s="242"/>
    </row>
    <row r="11" spans="1:19" ht="56">
      <c r="A11" s="425"/>
      <c r="B11" s="428"/>
      <c r="C11" s="431"/>
      <c r="D11" s="366"/>
      <c r="E11" s="433" t="s">
        <v>195</v>
      </c>
      <c r="F11" s="434"/>
      <c r="G11" s="435"/>
      <c r="H11" s="400"/>
      <c r="I11" s="401"/>
      <c r="J11" s="402"/>
      <c r="K11" s="306" t="s">
        <v>200</v>
      </c>
      <c r="L11" s="393"/>
      <c r="M11" s="250">
        <v>0.9</v>
      </c>
      <c r="N11" s="314">
        <f>+I10*M11</f>
        <v>44060479.343999997</v>
      </c>
      <c r="O11" s="248">
        <f t="shared" si="0"/>
        <v>2.1599999993417756E-2</v>
      </c>
      <c r="P11" s="242"/>
      <c r="Q11" s="242"/>
      <c r="R11" s="242"/>
      <c r="S11" s="242"/>
    </row>
    <row r="12" spans="1:19" s="251" customFormat="1" ht="28">
      <c r="A12" s="425"/>
      <c r="B12" s="428"/>
      <c r="C12" s="431"/>
      <c r="D12" s="366"/>
      <c r="E12" s="433" t="s">
        <v>195</v>
      </c>
      <c r="F12" s="434"/>
      <c r="G12" s="435"/>
      <c r="H12" s="400" t="s">
        <v>201</v>
      </c>
      <c r="I12" s="436">
        <f>'PF_POR FESR'!F8</f>
        <v>20398370.066666666</v>
      </c>
      <c r="J12" s="423">
        <f>+I12/I$75</f>
        <v>9.999999996952667E-3</v>
      </c>
      <c r="K12" s="306" t="s">
        <v>202</v>
      </c>
      <c r="L12" s="393">
        <f>SUM(M12:M14)</f>
        <v>1</v>
      </c>
      <c r="M12" s="250">
        <v>0.4</v>
      </c>
      <c r="N12" s="302">
        <f>+M12*I12</f>
        <v>8159348.0266666673</v>
      </c>
      <c r="O12" s="248">
        <f t="shared" si="0"/>
        <v>3.9999999987810671E-3</v>
      </c>
      <c r="P12" s="242"/>
      <c r="Q12" s="242"/>
      <c r="R12" s="242"/>
      <c r="S12" s="242"/>
    </row>
    <row r="13" spans="1:19" s="251" customFormat="1" ht="28">
      <c r="A13" s="425"/>
      <c r="B13" s="428"/>
      <c r="C13" s="431"/>
      <c r="D13" s="366"/>
      <c r="E13" s="433" t="s">
        <v>195</v>
      </c>
      <c r="F13" s="434"/>
      <c r="G13" s="435"/>
      <c r="H13" s="400"/>
      <c r="I13" s="436"/>
      <c r="J13" s="423"/>
      <c r="K13" s="252" t="s">
        <v>203</v>
      </c>
      <c r="L13" s="394"/>
      <c r="M13" s="250">
        <v>0.21</v>
      </c>
      <c r="N13" s="302">
        <f>+M13*I12</f>
        <v>4283657.7139999997</v>
      </c>
      <c r="O13" s="248">
        <f t="shared" si="0"/>
        <v>2.0999999993600599E-3</v>
      </c>
      <c r="P13" s="242"/>
      <c r="Q13" s="242"/>
      <c r="R13" s="242"/>
      <c r="S13" s="242"/>
    </row>
    <row r="14" spans="1:19" ht="28">
      <c r="A14" s="425"/>
      <c r="B14" s="428"/>
      <c r="C14" s="431"/>
      <c r="D14" s="366"/>
      <c r="E14" s="433" t="s">
        <v>195</v>
      </c>
      <c r="F14" s="434"/>
      <c r="G14" s="435"/>
      <c r="H14" s="400"/>
      <c r="I14" s="436"/>
      <c r="J14" s="423"/>
      <c r="K14" s="306" t="s">
        <v>204</v>
      </c>
      <c r="L14" s="394"/>
      <c r="M14" s="253">
        <v>0.39</v>
      </c>
      <c r="N14" s="302">
        <f>+M14*I12</f>
        <v>7955364.3260000004</v>
      </c>
      <c r="O14" s="248">
        <f t="shared" si="0"/>
        <v>3.8999999988115399E-3</v>
      </c>
      <c r="P14" s="242"/>
      <c r="Q14" s="242"/>
      <c r="R14" s="242"/>
      <c r="S14" s="242"/>
    </row>
    <row r="15" spans="1:19" ht="42">
      <c r="A15" s="426"/>
      <c r="B15" s="429"/>
      <c r="C15" s="432"/>
      <c r="D15" s="367"/>
      <c r="E15" s="433" t="s">
        <v>195</v>
      </c>
      <c r="F15" s="434"/>
      <c r="G15" s="435"/>
      <c r="H15" s="306" t="s">
        <v>205</v>
      </c>
      <c r="I15" s="307">
        <f>'PF_POR FESR'!F9</f>
        <v>40796740.133333333</v>
      </c>
      <c r="J15" s="308">
        <f>+I15/I$75</f>
        <v>1.9999999993905334E-2</v>
      </c>
      <c r="K15" s="306" t="s">
        <v>206</v>
      </c>
      <c r="L15" s="301">
        <f>SUM(M15)</f>
        <v>1</v>
      </c>
      <c r="M15" s="250">
        <v>1</v>
      </c>
      <c r="N15" s="307">
        <f>+M15*I15</f>
        <v>40796740.133333333</v>
      </c>
      <c r="O15" s="248">
        <f t="shared" si="0"/>
        <v>1.9999999993905331E-2</v>
      </c>
      <c r="P15" s="242"/>
      <c r="Q15" s="242"/>
      <c r="R15" s="242"/>
      <c r="S15" s="242"/>
    </row>
    <row r="16" spans="1:19" s="256" customFormat="1" ht="56" customHeight="1">
      <c r="A16" s="409" t="s">
        <v>411</v>
      </c>
      <c r="B16" s="412">
        <f>SUM(F16:F19)</f>
        <v>150961822.35577151</v>
      </c>
      <c r="C16" s="415">
        <f>+B16/B$75</f>
        <v>7.4006806336187503E-2</v>
      </c>
      <c r="D16" s="376">
        <f>B16/B$123</f>
        <v>6.3457150494344097E-2</v>
      </c>
      <c r="E16" s="316" t="s">
        <v>207</v>
      </c>
      <c r="F16" s="254">
        <f>SUM(I16)</f>
        <v>120364267.25577152</v>
      </c>
      <c r="G16" s="317">
        <f t="shared" ref="G16:G64" si="1">+F16/F$75</f>
        <v>5.9006806340758507E-2</v>
      </c>
      <c r="H16" s="318" t="s">
        <v>304</v>
      </c>
      <c r="I16" s="319">
        <f>'PF_POR FESR'!F12</f>
        <v>120364267.25577152</v>
      </c>
      <c r="J16" s="310">
        <f>+I16/I$75</f>
        <v>5.9006806340758507E-2</v>
      </c>
      <c r="K16" s="318" t="s">
        <v>208</v>
      </c>
      <c r="L16" s="322">
        <f>SUM(M16)</f>
        <v>1</v>
      </c>
      <c r="M16" s="255">
        <v>1</v>
      </c>
      <c r="N16" s="313">
        <f>+M16*I16</f>
        <v>120364267.25577152</v>
      </c>
      <c r="O16" s="248">
        <f t="shared" si="0"/>
        <v>5.90068063407585E-2</v>
      </c>
      <c r="P16" s="242"/>
      <c r="Q16" s="242"/>
      <c r="R16" s="242"/>
      <c r="S16" s="242"/>
    </row>
    <row r="17" spans="1:19" s="256" customFormat="1" ht="70">
      <c r="A17" s="410"/>
      <c r="B17" s="413"/>
      <c r="C17" s="416"/>
      <c r="D17" s="377"/>
      <c r="E17" s="316" t="s">
        <v>209</v>
      </c>
      <c r="F17" s="254">
        <f>SUM(I17)</f>
        <v>10199185.033333333</v>
      </c>
      <c r="G17" s="317">
        <f t="shared" si="1"/>
        <v>4.9999999984763335E-3</v>
      </c>
      <c r="H17" s="318" t="s">
        <v>210</v>
      </c>
      <c r="I17" s="307">
        <f>'PF_POR FESR'!F14</f>
        <v>10199185.033333333</v>
      </c>
      <c r="J17" s="308">
        <f>+I17/I$75</f>
        <v>4.9999999984763335E-3</v>
      </c>
      <c r="K17" s="318" t="s">
        <v>211</v>
      </c>
      <c r="L17" s="322">
        <f>SUM(M17)</f>
        <v>1</v>
      </c>
      <c r="M17" s="255">
        <v>1</v>
      </c>
      <c r="N17" s="313">
        <f>+M17*I17</f>
        <v>10199185.033333333</v>
      </c>
      <c r="O17" s="248">
        <f t="shared" si="0"/>
        <v>4.9999999984763326E-3</v>
      </c>
      <c r="P17" s="242"/>
      <c r="Q17" s="242"/>
      <c r="R17" s="242"/>
      <c r="S17" s="242"/>
    </row>
    <row r="18" spans="1:19" s="256" customFormat="1" ht="42">
      <c r="A18" s="410"/>
      <c r="B18" s="413"/>
      <c r="C18" s="416"/>
      <c r="D18" s="377"/>
      <c r="E18" s="418" t="s">
        <v>212</v>
      </c>
      <c r="F18" s="419">
        <f>SUM(I18)</f>
        <v>20398370.066666666</v>
      </c>
      <c r="G18" s="420">
        <f t="shared" si="1"/>
        <v>9.999999996952667E-3</v>
      </c>
      <c r="H18" s="421" t="s">
        <v>213</v>
      </c>
      <c r="I18" s="422">
        <f>'PF_POR FESR'!F13</f>
        <v>20398370.066666666</v>
      </c>
      <c r="J18" s="423">
        <f>+I18/I$75</f>
        <v>9.999999996952667E-3</v>
      </c>
      <c r="K18" s="318" t="s">
        <v>214</v>
      </c>
      <c r="L18" s="395">
        <f>SUM(M18:M19)</f>
        <v>1</v>
      </c>
      <c r="M18" s="255">
        <v>0.45</v>
      </c>
      <c r="N18" s="313">
        <f>+M18*I18</f>
        <v>9179266.5299999993</v>
      </c>
      <c r="O18" s="248">
        <f t="shared" si="0"/>
        <v>4.4999999986286999E-3</v>
      </c>
      <c r="P18" s="242"/>
      <c r="Q18" s="242"/>
      <c r="R18" s="242"/>
      <c r="S18" s="242"/>
    </row>
    <row r="19" spans="1:19" s="256" customFormat="1" ht="42">
      <c r="A19" s="411"/>
      <c r="B19" s="414"/>
      <c r="C19" s="417"/>
      <c r="D19" s="378"/>
      <c r="E19" s="418"/>
      <c r="F19" s="396"/>
      <c r="G19" s="420">
        <f t="shared" si="1"/>
        <v>0</v>
      </c>
      <c r="H19" s="421"/>
      <c r="I19" s="422"/>
      <c r="J19" s="423"/>
      <c r="K19" s="318" t="s">
        <v>349</v>
      </c>
      <c r="L19" s="396"/>
      <c r="M19" s="255">
        <v>0.55000000000000004</v>
      </c>
      <c r="N19" s="313">
        <f>+M19*I18</f>
        <v>11219103.536666667</v>
      </c>
      <c r="O19" s="248">
        <f t="shared" si="0"/>
        <v>5.4999999983239662E-3</v>
      </c>
      <c r="P19" s="242"/>
      <c r="Q19" s="242"/>
      <c r="R19" s="242"/>
      <c r="S19" s="242"/>
    </row>
    <row r="20" spans="1:19" s="257" customFormat="1" ht="28" customHeight="1">
      <c r="A20" s="437" t="s">
        <v>410</v>
      </c>
      <c r="B20" s="440">
        <f>SUM(F20:F35)</f>
        <v>204606304.31098202</v>
      </c>
      <c r="C20" s="443">
        <f>+B20/B$75</f>
        <v>0.10030522222115304</v>
      </c>
      <c r="D20" s="379">
        <f>B20/B$123</f>
        <v>8.600673231245716E-2</v>
      </c>
      <c r="E20" s="446" t="s">
        <v>215</v>
      </c>
      <c r="F20" s="447">
        <f>SUM(I20)</f>
        <v>33486813.480132576</v>
      </c>
      <c r="G20" s="448">
        <f t="shared" si="1"/>
        <v>1.6416416292323974E-2</v>
      </c>
      <c r="H20" s="368" t="s">
        <v>216</v>
      </c>
      <c r="I20" s="369">
        <f>'PF_POR FESR'!F20</f>
        <v>33486813.480132576</v>
      </c>
      <c r="J20" s="403">
        <f>+I20/I$75</f>
        <v>1.6416416292323974E-2</v>
      </c>
      <c r="K20" s="311" t="s">
        <v>217</v>
      </c>
      <c r="L20" s="404">
        <f>SUM(M20:M21)</f>
        <v>1</v>
      </c>
      <c r="M20" s="250">
        <v>0.55000000000000004</v>
      </c>
      <c r="N20" s="323">
        <f>+M20*I20</f>
        <v>18417747.41407292</v>
      </c>
      <c r="O20" s="248">
        <f t="shared" si="0"/>
        <v>9.0290289607781859E-3</v>
      </c>
      <c r="P20" s="242"/>
      <c r="Q20" s="242"/>
      <c r="R20" s="242"/>
      <c r="S20" s="242"/>
    </row>
    <row r="21" spans="1:19" s="257" customFormat="1" ht="42">
      <c r="A21" s="438"/>
      <c r="B21" s="441"/>
      <c r="C21" s="444"/>
      <c r="D21" s="380"/>
      <c r="E21" s="446"/>
      <c r="F21" s="408"/>
      <c r="G21" s="448">
        <f t="shared" si="1"/>
        <v>0</v>
      </c>
      <c r="H21" s="368"/>
      <c r="I21" s="369"/>
      <c r="J21" s="403"/>
      <c r="K21" s="311" t="s">
        <v>218</v>
      </c>
      <c r="L21" s="404"/>
      <c r="M21" s="250">
        <v>0.45</v>
      </c>
      <c r="N21" s="323">
        <f>M21*I20</f>
        <v>15069066.06605966</v>
      </c>
      <c r="O21" s="248">
        <f t="shared" si="0"/>
        <v>7.387387331545787E-3</v>
      </c>
      <c r="P21" s="242"/>
      <c r="Q21" s="242"/>
      <c r="R21" s="242"/>
      <c r="S21" s="242"/>
    </row>
    <row r="22" spans="1:19" s="257" customFormat="1" ht="28">
      <c r="A22" s="438"/>
      <c r="B22" s="441"/>
      <c r="C22" s="444"/>
      <c r="D22" s="380"/>
      <c r="E22" s="446" t="s">
        <v>219</v>
      </c>
      <c r="F22" s="447">
        <f>SUM(I22:I27)</f>
        <v>63234947.206666663</v>
      </c>
      <c r="G22" s="448">
        <f t="shared" si="1"/>
        <v>3.0999999990553268E-2</v>
      </c>
      <c r="H22" s="368" t="s">
        <v>220</v>
      </c>
      <c r="I22" s="405">
        <f>'PF_POR FESR'!F18</f>
        <v>50995925.166666664</v>
      </c>
      <c r="J22" s="406">
        <f>+I22/I$75</f>
        <v>2.4999999992381668E-2</v>
      </c>
      <c r="K22" s="311" t="s">
        <v>221</v>
      </c>
      <c r="L22" s="404">
        <f>SUM(M22:M25)</f>
        <v>1</v>
      </c>
      <c r="M22" s="250">
        <f>25%+15%</f>
        <v>0.4</v>
      </c>
      <c r="N22" s="323">
        <f>+M22*I22</f>
        <v>20398370.066666666</v>
      </c>
      <c r="O22" s="248">
        <f t="shared" si="0"/>
        <v>9.9999999969526653E-3</v>
      </c>
      <c r="P22" s="242"/>
      <c r="Q22" s="242"/>
      <c r="R22" s="242"/>
      <c r="S22" s="242"/>
    </row>
    <row r="23" spans="1:19" s="257" customFormat="1" ht="42">
      <c r="A23" s="438"/>
      <c r="B23" s="441"/>
      <c r="C23" s="444"/>
      <c r="D23" s="380"/>
      <c r="E23" s="446"/>
      <c r="F23" s="408"/>
      <c r="G23" s="448">
        <f t="shared" si="1"/>
        <v>0</v>
      </c>
      <c r="H23" s="368"/>
      <c r="I23" s="405"/>
      <c r="J23" s="406"/>
      <c r="K23" s="311" t="s">
        <v>222</v>
      </c>
      <c r="L23" s="408"/>
      <c r="M23" s="250">
        <v>0.2</v>
      </c>
      <c r="N23" s="323">
        <f>+M23*I22</f>
        <v>10199185.033333333</v>
      </c>
      <c r="O23" s="248">
        <f t="shared" si="0"/>
        <v>4.9999999984763326E-3</v>
      </c>
      <c r="P23" s="242"/>
      <c r="Q23" s="242"/>
      <c r="R23" s="242"/>
      <c r="S23" s="242"/>
    </row>
    <row r="24" spans="1:19" s="257" customFormat="1" ht="28">
      <c r="A24" s="438"/>
      <c r="B24" s="441"/>
      <c r="C24" s="444"/>
      <c r="D24" s="380"/>
      <c r="E24" s="446"/>
      <c r="F24" s="408"/>
      <c r="G24" s="448">
        <f t="shared" si="1"/>
        <v>0</v>
      </c>
      <c r="H24" s="368"/>
      <c r="I24" s="405"/>
      <c r="J24" s="406"/>
      <c r="K24" s="311" t="s">
        <v>223</v>
      </c>
      <c r="L24" s="408"/>
      <c r="M24" s="250">
        <v>0.2</v>
      </c>
      <c r="N24" s="323">
        <f>+M24*I22</f>
        <v>10199185.033333333</v>
      </c>
      <c r="O24" s="248">
        <f t="shared" si="0"/>
        <v>4.9999999984763326E-3</v>
      </c>
      <c r="P24" s="242"/>
      <c r="Q24" s="242"/>
      <c r="R24" s="242"/>
      <c r="S24" s="242"/>
    </row>
    <row r="25" spans="1:19" s="257" customFormat="1" ht="28">
      <c r="A25" s="438"/>
      <c r="B25" s="441"/>
      <c r="C25" s="444"/>
      <c r="D25" s="380"/>
      <c r="E25" s="446"/>
      <c r="F25" s="408"/>
      <c r="G25" s="448">
        <f t="shared" si="1"/>
        <v>0</v>
      </c>
      <c r="H25" s="368"/>
      <c r="I25" s="405"/>
      <c r="J25" s="406"/>
      <c r="K25" s="311" t="s">
        <v>224</v>
      </c>
      <c r="L25" s="408"/>
      <c r="M25" s="250">
        <v>0.2</v>
      </c>
      <c r="N25" s="323">
        <f>+M25*I22</f>
        <v>10199185.033333333</v>
      </c>
      <c r="O25" s="248">
        <f t="shared" si="0"/>
        <v>4.9999999984763326E-3</v>
      </c>
      <c r="P25" s="242"/>
      <c r="Q25" s="242"/>
      <c r="R25" s="242"/>
      <c r="S25" s="242"/>
    </row>
    <row r="26" spans="1:19" s="257" customFormat="1" ht="28">
      <c r="A26" s="438"/>
      <c r="B26" s="441"/>
      <c r="C26" s="444"/>
      <c r="D26" s="380"/>
      <c r="E26" s="446"/>
      <c r="F26" s="408"/>
      <c r="G26" s="448">
        <f t="shared" si="1"/>
        <v>0</v>
      </c>
      <c r="H26" s="368" t="s">
        <v>225</v>
      </c>
      <c r="I26" s="369">
        <f>'PF_POR FESR'!F19</f>
        <v>12239022.039999999</v>
      </c>
      <c r="J26" s="403">
        <f t="shared" ref="J26:J75" si="2">+I26/I$75</f>
        <v>5.9999999981715998E-3</v>
      </c>
      <c r="K26" s="311" t="s">
        <v>226</v>
      </c>
      <c r="L26" s="404">
        <f>SUM(M26:M27)</f>
        <v>1</v>
      </c>
      <c r="M26" s="250">
        <v>0.35</v>
      </c>
      <c r="N26" s="312">
        <f>+M26*I26</f>
        <v>4283657.7139999997</v>
      </c>
      <c r="O26" s="248">
        <f t="shared" si="0"/>
        <v>2.0999999993600599E-3</v>
      </c>
      <c r="P26" s="242"/>
      <c r="Q26" s="242"/>
      <c r="R26" s="242"/>
      <c r="S26" s="242"/>
    </row>
    <row r="27" spans="1:19" s="257" customFormat="1">
      <c r="A27" s="438"/>
      <c r="B27" s="441"/>
      <c r="C27" s="444"/>
      <c r="D27" s="380"/>
      <c r="E27" s="446"/>
      <c r="F27" s="408"/>
      <c r="G27" s="448">
        <f t="shared" si="1"/>
        <v>0</v>
      </c>
      <c r="H27" s="368"/>
      <c r="I27" s="369"/>
      <c r="J27" s="403">
        <f t="shared" si="2"/>
        <v>0</v>
      </c>
      <c r="K27" s="311" t="s">
        <v>227</v>
      </c>
      <c r="L27" s="404"/>
      <c r="M27" s="250">
        <v>0.65</v>
      </c>
      <c r="N27" s="312">
        <f>+M27*I26</f>
        <v>7955364.3259999994</v>
      </c>
      <c r="O27" s="248">
        <f t="shared" si="0"/>
        <v>3.8999999988115395E-3</v>
      </c>
      <c r="P27" s="242"/>
      <c r="Q27" s="242"/>
      <c r="R27" s="242"/>
      <c r="S27" s="242"/>
    </row>
    <row r="28" spans="1:19" s="257" customFormat="1" ht="28">
      <c r="A28" s="438"/>
      <c r="B28" s="441"/>
      <c r="C28" s="444"/>
      <c r="D28" s="380"/>
      <c r="E28" s="446" t="s">
        <v>228</v>
      </c>
      <c r="F28" s="447">
        <f>SUM(I28:I33)</f>
        <v>68252946.243066669</v>
      </c>
      <c r="G28" s="448">
        <f t="shared" si="1"/>
        <v>3.3459999989803625E-2</v>
      </c>
      <c r="H28" s="368" t="s">
        <v>229</v>
      </c>
      <c r="I28" s="407">
        <f>'PF_POR FESR'!F16</f>
        <v>38756903.126666665</v>
      </c>
      <c r="J28" s="403">
        <f t="shared" si="2"/>
        <v>1.8999999994210068E-2</v>
      </c>
      <c r="K28" s="311" t="s">
        <v>230</v>
      </c>
      <c r="L28" s="404">
        <f>SUM(M28:M30)</f>
        <v>1</v>
      </c>
      <c r="M28" s="250">
        <v>0.45</v>
      </c>
      <c r="N28" s="323">
        <f>+M28*I28</f>
        <v>17440606.407000002</v>
      </c>
      <c r="O28" s="248">
        <f t="shared" si="0"/>
        <v>8.5499999973945306E-3</v>
      </c>
      <c r="P28" s="242"/>
      <c r="Q28" s="242"/>
      <c r="R28" s="242"/>
      <c r="S28" s="242"/>
    </row>
    <row r="29" spans="1:19" s="257" customFormat="1">
      <c r="A29" s="438"/>
      <c r="B29" s="441"/>
      <c r="C29" s="444"/>
      <c r="D29" s="380"/>
      <c r="E29" s="446"/>
      <c r="F29" s="408"/>
      <c r="G29" s="448">
        <f t="shared" si="1"/>
        <v>0</v>
      </c>
      <c r="H29" s="368"/>
      <c r="I29" s="407"/>
      <c r="J29" s="403">
        <f t="shared" si="2"/>
        <v>0</v>
      </c>
      <c r="K29" s="311" t="s">
        <v>231</v>
      </c>
      <c r="L29" s="404"/>
      <c r="M29" s="250">
        <v>0.3</v>
      </c>
      <c r="N29" s="323">
        <f>+M29*I28</f>
        <v>11627070.937999999</v>
      </c>
      <c r="O29" s="248">
        <f t="shared" si="0"/>
        <v>5.699999998263019E-3</v>
      </c>
      <c r="P29" s="242"/>
      <c r="Q29" s="242"/>
      <c r="R29" s="242"/>
      <c r="S29" s="242"/>
    </row>
    <row r="30" spans="1:19" s="257" customFormat="1">
      <c r="A30" s="438"/>
      <c r="B30" s="441"/>
      <c r="C30" s="444"/>
      <c r="D30" s="380"/>
      <c r="E30" s="446"/>
      <c r="F30" s="408"/>
      <c r="G30" s="448">
        <f t="shared" si="1"/>
        <v>0</v>
      </c>
      <c r="H30" s="368"/>
      <c r="I30" s="407"/>
      <c r="J30" s="403">
        <f t="shared" si="2"/>
        <v>0</v>
      </c>
      <c r="K30" s="311" t="s">
        <v>232</v>
      </c>
      <c r="L30" s="404"/>
      <c r="M30" s="250">
        <v>0.25</v>
      </c>
      <c r="N30" s="323">
        <f>+M30*I28</f>
        <v>9689225.7816666663</v>
      </c>
      <c r="O30" s="248">
        <f t="shared" si="0"/>
        <v>4.7499999985525163E-3</v>
      </c>
      <c r="P30" s="242"/>
      <c r="Q30" s="242"/>
      <c r="R30" s="242"/>
      <c r="S30" s="242"/>
    </row>
    <row r="31" spans="1:19" s="257" customFormat="1" ht="56">
      <c r="A31" s="438"/>
      <c r="B31" s="441"/>
      <c r="C31" s="444"/>
      <c r="D31" s="380"/>
      <c r="E31" s="446"/>
      <c r="F31" s="408"/>
      <c r="G31" s="448">
        <f t="shared" si="1"/>
        <v>0</v>
      </c>
      <c r="H31" s="368" t="s">
        <v>233</v>
      </c>
      <c r="I31" s="407">
        <f>'PF_POR FESR'!F22</f>
        <v>29496043.1164</v>
      </c>
      <c r="J31" s="403">
        <f t="shared" si="2"/>
        <v>1.4459999995593557E-2</v>
      </c>
      <c r="K31" s="311" t="s">
        <v>234</v>
      </c>
      <c r="L31" s="404">
        <f>SUM(M31:M33)</f>
        <v>1</v>
      </c>
      <c r="M31" s="250">
        <v>0.6</v>
      </c>
      <c r="N31" s="323">
        <f>+M31*I31</f>
        <v>17697625.86984</v>
      </c>
      <c r="O31" s="248">
        <f t="shared" si="0"/>
        <v>8.6759999973561337E-3</v>
      </c>
      <c r="P31" s="242"/>
      <c r="Q31" s="242"/>
      <c r="R31" s="242"/>
      <c r="S31" s="242"/>
    </row>
    <row r="32" spans="1:19" s="257" customFormat="1" ht="42">
      <c r="A32" s="438"/>
      <c r="B32" s="441"/>
      <c r="C32" s="444"/>
      <c r="D32" s="380"/>
      <c r="E32" s="446"/>
      <c r="F32" s="408"/>
      <c r="G32" s="448">
        <f t="shared" si="1"/>
        <v>0</v>
      </c>
      <c r="H32" s="368"/>
      <c r="I32" s="407"/>
      <c r="J32" s="403">
        <f t="shared" si="2"/>
        <v>0</v>
      </c>
      <c r="K32" s="311" t="s">
        <v>235</v>
      </c>
      <c r="L32" s="404"/>
      <c r="M32" s="250">
        <v>0.25</v>
      </c>
      <c r="N32" s="323">
        <f>+M32*I31</f>
        <v>7374010.7790999999</v>
      </c>
      <c r="O32" s="248">
        <f t="shared" si="0"/>
        <v>3.6149999988983887E-3</v>
      </c>
      <c r="P32" s="242"/>
      <c r="Q32" s="242"/>
      <c r="R32" s="242"/>
      <c r="S32" s="242"/>
    </row>
    <row r="33" spans="1:19" s="257" customFormat="1" ht="42">
      <c r="A33" s="438"/>
      <c r="B33" s="441"/>
      <c r="C33" s="444"/>
      <c r="D33" s="380"/>
      <c r="E33" s="446"/>
      <c r="F33" s="408"/>
      <c r="G33" s="448">
        <f t="shared" si="1"/>
        <v>0</v>
      </c>
      <c r="H33" s="368"/>
      <c r="I33" s="407"/>
      <c r="J33" s="403">
        <f t="shared" si="2"/>
        <v>0</v>
      </c>
      <c r="K33" s="311" t="s">
        <v>236</v>
      </c>
      <c r="L33" s="404"/>
      <c r="M33" s="250">
        <v>0.15</v>
      </c>
      <c r="N33" s="323">
        <f>+M33*I31</f>
        <v>4424406.46746</v>
      </c>
      <c r="O33" s="248">
        <f t="shared" si="0"/>
        <v>2.1689999993390334E-3</v>
      </c>
      <c r="P33" s="242"/>
      <c r="Q33" s="242"/>
      <c r="R33" s="242"/>
      <c r="S33" s="242"/>
    </row>
    <row r="34" spans="1:19" s="257" customFormat="1" ht="42">
      <c r="A34" s="438"/>
      <c r="B34" s="441"/>
      <c r="C34" s="444"/>
      <c r="D34" s="380"/>
      <c r="E34" s="446" t="s">
        <v>237</v>
      </c>
      <c r="F34" s="447">
        <f>SUM(I34)</f>
        <v>39631597.381116115</v>
      </c>
      <c r="G34" s="448">
        <f t="shared" si="1"/>
        <v>1.9428805948472194E-2</v>
      </c>
      <c r="H34" s="368" t="s">
        <v>238</v>
      </c>
      <c r="I34" s="369">
        <f>'PF_POR FESR'!F21</f>
        <v>39631597.381116115</v>
      </c>
      <c r="J34" s="403">
        <f t="shared" si="2"/>
        <v>1.9428805948472194E-2</v>
      </c>
      <c r="K34" s="311" t="s">
        <v>239</v>
      </c>
      <c r="L34" s="404">
        <f>SUM(M34:M35)</f>
        <v>1</v>
      </c>
      <c r="M34" s="250">
        <v>0.9</v>
      </c>
      <c r="N34" s="323">
        <f>+M34*I34</f>
        <v>35668437.643004507</v>
      </c>
      <c r="O34" s="248">
        <f t="shared" si="0"/>
        <v>1.7485925353624976E-2</v>
      </c>
      <c r="P34" s="242"/>
      <c r="Q34" s="242"/>
      <c r="R34" s="242"/>
      <c r="S34" s="242"/>
    </row>
    <row r="35" spans="1:19" s="257" customFormat="1" ht="28">
      <c r="A35" s="439"/>
      <c r="B35" s="442"/>
      <c r="C35" s="445"/>
      <c r="D35" s="381"/>
      <c r="E35" s="446"/>
      <c r="F35" s="408"/>
      <c r="G35" s="448">
        <f t="shared" si="1"/>
        <v>0</v>
      </c>
      <c r="H35" s="368"/>
      <c r="I35" s="369"/>
      <c r="J35" s="403">
        <f t="shared" si="2"/>
        <v>0</v>
      </c>
      <c r="K35" s="311" t="s">
        <v>240</v>
      </c>
      <c r="L35" s="404"/>
      <c r="M35" s="250">
        <v>0.1</v>
      </c>
      <c r="N35" s="312">
        <f>+M35*I34</f>
        <v>3963159.7381116115</v>
      </c>
      <c r="O35" s="248">
        <f t="shared" si="0"/>
        <v>1.9428805948472191E-3</v>
      </c>
      <c r="P35" s="242"/>
      <c r="Q35" s="242"/>
      <c r="R35" s="242"/>
      <c r="S35" s="242"/>
    </row>
    <row r="36" spans="1:19" ht="56" customHeight="1">
      <c r="A36" s="449" t="s">
        <v>413</v>
      </c>
      <c r="B36" s="427">
        <f>SUM(F36:F40)</f>
        <v>468926032.15157145</v>
      </c>
      <c r="C36" s="452">
        <f>+B36/B$75</f>
        <v>0.22988406940167944</v>
      </c>
      <c r="D36" s="382">
        <f>B36/B$123</f>
        <v>0.19711414004284017</v>
      </c>
      <c r="E36" s="433" t="s">
        <v>241</v>
      </c>
      <c r="F36" s="434">
        <f>SUM(I36)</f>
        <v>169783934.68533987</v>
      </c>
      <c r="G36" s="435">
        <f t="shared" si="1"/>
        <v>8.3234069231368613E-2</v>
      </c>
      <c r="H36" s="400" t="s">
        <v>242</v>
      </c>
      <c r="I36" s="455">
        <f>'PF_POR FESR'!F25</f>
        <v>169783934.68533987</v>
      </c>
      <c r="J36" s="456">
        <f t="shared" si="2"/>
        <v>8.3234069231368613E-2</v>
      </c>
      <c r="K36" s="306" t="s">
        <v>243</v>
      </c>
      <c r="L36" s="393">
        <f>SUM(M36:M38)</f>
        <v>1</v>
      </c>
      <c r="M36" s="250">
        <v>0.55000000000000004</v>
      </c>
      <c r="N36" s="314">
        <f>+M36*I36</f>
        <v>93381164.07693693</v>
      </c>
      <c r="O36" s="248">
        <f t="shared" si="0"/>
        <v>4.5778738077252731E-2</v>
      </c>
      <c r="P36" s="242"/>
      <c r="Q36" s="242"/>
      <c r="R36" s="242"/>
      <c r="S36" s="242"/>
    </row>
    <row r="37" spans="1:19" ht="28">
      <c r="A37" s="450"/>
      <c r="B37" s="428"/>
      <c r="C37" s="453"/>
      <c r="D37" s="383"/>
      <c r="E37" s="433"/>
      <c r="F37" s="394"/>
      <c r="G37" s="435">
        <f t="shared" si="1"/>
        <v>0</v>
      </c>
      <c r="H37" s="400"/>
      <c r="I37" s="455"/>
      <c r="J37" s="456">
        <f t="shared" si="2"/>
        <v>0</v>
      </c>
      <c r="K37" s="306" t="s">
        <v>244</v>
      </c>
      <c r="L37" s="393"/>
      <c r="M37" s="250">
        <v>0.15</v>
      </c>
      <c r="N37" s="314">
        <f>+M37*I36</f>
        <v>25467590.202800978</v>
      </c>
      <c r="O37" s="248">
        <f t="shared" si="0"/>
        <v>1.2485110384705289E-2</v>
      </c>
      <c r="P37" s="242"/>
      <c r="Q37" s="242"/>
      <c r="R37" s="242"/>
      <c r="S37" s="242"/>
    </row>
    <row r="38" spans="1:19" ht="42">
      <c r="A38" s="450"/>
      <c r="B38" s="428"/>
      <c r="C38" s="453"/>
      <c r="D38" s="383"/>
      <c r="E38" s="433"/>
      <c r="F38" s="394"/>
      <c r="G38" s="435">
        <f t="shared" si="1"/>
        <v>0</v>
      </c>
      <c r="H38" s="400"/>
      <c r="I38" s="455"/>
      <c r="J38" s="456">
        <f t="shared" si="2"/>
        <v>0</v>
      </c>
      <c r="K38" s="311" t="s">
        <v>245</v>
      </c>
      <c r="L38" s="393"/>
      <c r="M38" s="250">
        <v>0.3</v>
      </c>
      <c r="N38" s="314">
        <f>+M38*I36</f>
        <v>50935180.405601956</v>
      </c>
      <c r="O38" s="248">
        <f t="shared" si="0"/>
        <v>2.4970220769410578E-2</v>
      </c>
      <c r="P38" s="242"/>
      <c r="Q38" s="242"/>
      <c r="R38" s="242"/>
      <c r="S38" s="242"/>
    </row>
    <row r="39" spans="1:19" ht="28">
      <c r="A39" s="450"/>
      <c r="B39" s="428"/>
      <c r="C39" s="453"/>
      <c r="D39" s="383"/>
      <c r="E39" s="433" t="s">
        <v>246</v>
      </c>
      <c r="F39" s="434">
        <f>SUM(I39)</f>
        <v>299142097.46623158</v>
      </c>
      <c r="G39" s="435">
        <f t="shared" si="1"/>
        <v>0.14665000017031085</v>
      </c>
      <c r="H39" s="400" t="s">
        <v>305</v>
      </c>
      <c r="I39" s="369">
        <f>'PF_POR FESR'!F30</f>
        <v>299142097.46623158</v>
      </c>
      <c r="J39" s="403">
        <f t="shared" si="2"/>
        <v>0.14665000017031085</v>
      </c>
      <c r="K39" s="306" t="s">
        <v>247</v>
      </c>
      <c r="L39" s="393">
        <f>SUM(M39:M40)</f>
        <v>1</v>
      </c>
      <c r="M39" s="250">
        <v>0.82</v>
      </c>
      <c r="N39" s="307">
        <f>I39*M39</f>
        <v>245296519.92230988</v>
      </c>
      <c r="O39" s="248">
        <f t="shared" si="0"/>
        <v>0.12025300013965487</v>
      </c>
      <c r="P39" s="242"/>
      <c r="Q39" s="242"/>
      <c r="R39" s="242"/>
      <c r="S39" s="242"/>
    </row>
    <row r="40" spans="1:19">
      <c r="A40" s="451"/>
      <c r="B40" s="429"/>
      <c r="C40" s="454"/>
      <c r="D40" s="384"/>
      <c r="E40" s="433"/>
      <c r="F40" s="394"/>
      <c r="G40" s="435">
        <f t="shared" si="1"/>
        <v>0</v>
      </c>
      <c r="H40" s="400"/>
      <c r="I40" s="369"/>
      <c r="J40" s="403">
        <f t="shared" si="2"/>
        <v>0</v>
      </c>
      <c r="K40" s="306" t="s">
        <v>248</v>
      </c>
      <c r="L40" s="394"/>
      <c r="M40" s="250">
        <v>0.18</v>
      </c>
      <c r="N40" s="307">
        <f>I39*M40</f>
        <v>53845577.543921687</v>
      </c>
      <c r="O40" s="248">
        <f t="shared" si="0"/>
        <v>2.639700003065595E-2</v>
      </c>
      <c r="P40" s="242"/>
      <c r="Q40" s="242"/>
      <c r="R40" s="242"/>
      <c r="S40" s="242"/>
    </row>
    <row r="41" spans="1:19" ht="28">
      <c r="A41" s="449" t="s">
        <v>409</v>
      </c>
      <c r="B41" s="427">
        <f>SUM(F41)</f>
        <v>93879441.433680013</v>
      </c>
      <c r="C41" s="430">
        <f>+B41/B$75</f>
        <v>4.6023011200528152E-2</v>
      </c>
      <c r="D41" s="365">
        <f>B41/B$123</f>
        <v>3.9462439909756675E-2</v>
      </c>
      <c r="E41" s="433" t="s">
        <v>250</v>
      </c>
      <c r="F41" s="434">
        <f>SUM(I41:I43)</f>
        <v>93879441.433680013</v>
      </c>
      <c r="G41" s="435">
        <f t="shared" si="1"/>
        <v>4.6023011200528152E-2</v>
      </c>
      <c r="H41" s="400" t="s">
        <v>249</v>
      </c>
      <c r="I41" s="455">
        <f>'PF_POR FESR'!F32</f>
        <v>90615702.223013341</v>
      </c>
      <c r="J41" s="456">
        <f t="shared" si="2"/>
        <v>4.4423011201015723E-2</v>
      </c>
      <c r="K41" s="306" t="s">
        <v>306</v>
      </c>
      <c r="L41" s="393">
        <f>SUM(M41:M42)</f>
        <v>1</v>
      </c>
      <c r="M41" s="253">
        <v>0.9</v>
      </c>
      <c r="N41" s="314">
        <f>+M41*I41</f>
        <v>81554132.000712007</v>
      </c>
      <c r="O41" s="248">
        <f t="shared" si="0"/>
        <v>3.9980710080914146E-2</v>
      </c>
      <c r="P41" s="242"/>
      <c r="Q41" s="242"/>
      <c r="R41" s="242"/>
      <c r="S41" s="242"/>
    </row>
    <row r="42" spans="1:19" ht="28">
      <c r="A42" s="450"/>
      <c r="B42" s="428"/>
      <c r="C42" s="431"/>
      <c r="D42" s="366"/>
      <c r="E42" s="433"/>
      <c r="F42" s="394"/>
      <c r="G42" s="435">
        <f t="shared" si="1"/>
        <v>0</v>
      </c>
      <c r="H42" s="400"/>
      <c r="I42" s="455"/>
      <c r="J42" s="456">
        <f t="shared" si="2"/>
        <v>0</v>
      </c>
      <c r="K42" s="306" t="s">
        <v>307</v>
      </c>
      <c r="L42" s="394"/>
      <c r="M42" s="253">
        <v>0.1</v>
      </c>
      <c r="N42" s="314">
        <f>+M42*I41</f>
        <v>9061570.2223013341</v>
      </c>
      <c r="O42" s="248">
        <f t="shared" si="0"/>
        <v>4.442301120101572E-3</v>
      </c>
      <c r="P42" s="242"/>
      <c r="Q42" s="242"/>
      <c r="R42" s="242"/>
      <c r="S42" s="242"/>
    </row>
    <row r="43" spans="1:19">
      <c r="A43" s="451"/>
      <c r="B43" s="429"/>
      <c r="C43" s="432"/>
      <c r="D43" s="367"/>
      <c r="E43" s="433"/>
      <c r="F43" s="394"/>
      <c r="G43" s="435">
        <f t="shared" si="1"/>
        <v>0</v>
      </c>
      <c r="H43" s="306" t="s">
        <v>251</v>
      </c>
      <c r="I43" s="307">
        <f>'PF_POR FESR'!F34</f>
        <v>3263739.2106666672</v>
      </c>
      <c r="J43" s="308">
        <f t="shared" si="2"/>
        <v>1.599999999512427E-3</v>
      </c>
      <c r="K43" s="306" t="s">
        <v>252</v>
      </c>
      <c r="L43" s="301">
        <f>SUM(M43)</f>
        <v>1</v>
      </c>
      <c r="M43" s="253">
        <v>1</v>
      </c>
      <c r="N43" s="314">
        <f>+M43*I43</f>
        <v>3263739.2106666672</v>
      </c>
      <c r="O43" s="248">
        <f t="shared" si="0"/>
        <v>1.5999999995124268E-3</v>
      </c>
      <c r="P43" s="242"/>
      <c r="Q43" s="242"/>
      <c r="R43" s="242"/>
      <c r="S43" s="242"/>
    </row>
    <row r="44" spans="1:19" ht="28" customHeight="1">
      <c r="A44" s="449" t="s">
        <v>405</v>
      </c>
      <c r="B44" s="427">
        <f>SUM(F44:F54)</f>
        <v>324491230.4639743</v>
      </c>
      <c r="C44" s="430">
        <f>+B44/B$75</f>
        <v>0.15907703865778364</v>
      </c>
      <c r="D44" s="365">
        <f>B44/B$123</f>
        <v>0.13640063775276803</v>
      </c>
      <c r="E44" s="433" t="s">
        <v>253</v>
      </c>
      <c r="F44" s="434">
        <f>SUM(I44)</f>
        <v>114388018.77730758</v>
      </c>
      <c r="G44" s="435">
        <f t="shared" si="1"/>
        <v>5.607703868917116E-2</v>
      </c>
      <c r="H44" s="400" t="s">
        <v>254</v>
      </c>
      <c r="I44" s="457">
        <f>'PF_POR FESR'!F36</f>
        <v>114388018.77730758</v>
      </c>
      <c r="J44" s="423">
        <f t="shared" si="2"/>
        <v>5.607703868917116E-2</v>
      </c>
      <c r="K44" s="306" t="s">
        <v>255</v>
      </c>
      <c r="L44" s="393">
        <f>SUM(M44:M46)</f>
        <v>1</v>
      </c>
      <c r="M44" s="253">
        <v>0.06</v>
      </c>
      <c r="N44" s="313">
        <f>M44*I44</f>
        <v>6863281.1266384544</v>
      </c>
      <c r="O44" s="248">
        <f t="shared" si="0"/>
        <v>3.3646223213502687E-3</v>
      </c>
      <c r="P44" s="242"/>
      <c r="Q44" s="242"/>
      <c r="R44" s="242"/>
      <c r="S44" s="242"/>
    </row>
    <row r="45" spans="1:19">
      <c r="A45" s="450"/>
      <c r="B45" s="428"/>
      <c r="C45" s="431"/>
      <c r="D45" s="366"/>
      <c r="E45" s="433"/>
      <c r="F45" s="394"/>
      <c r="G45" s="435">
        <f t="shared" si="1"/>
        <v>0</v>
      </c>
      <c r="H45" s="400"/>
      <c r="I45" s="457"/>
      <c r="J45" s="423">
        <f t="shared" si="2"/>
        <v>0</v>
      </c>
      <c r="K45" s="306" t="s">
        <v>256</v>
      </c>
      <c r="L45" s="458"/>
      <c r="M45" s="253">
        <v>0.32</v>
      </c>
      <c r="N45" s="313">
        <f>M45*I44</f>
        <v>36604166.008738428</v>
      </c>
      <c r="O45" s="248">
        <f t="shared" si="0"/>
        <v>1.7944652380534769E-2</v>
      </c>
      <c r="P45" s="242"/>
      <c r="Q45" s="242"/>
      <c r="R45" s="242"/>
      <c r="S45" s="242"/>
    </row>
    <row r="46" spans="1:19" ht="42">
      <c r="A46" s="450"/>
      <c r="B46" s="428"/>
      <c r="C46" s="431"/>
      <c r="D46" s="366"/>
      <c r="E46" s="433"/>
      <c r="F46" s="394"/>
      <c r="G46" s="435">
        <f t="shared" si="1"/>
        <v>0</v>
      </c>
      <c r="H46" s="400"/>
      <c r="I46" s="457"/>
      <c r="J46" s="423">
        <f t="shared" si="2"/>
        <v>0</v>
      </c>
      <c r="K46" s="306" t="s">
        <v>257</v>
      </c>
      <c r="L46" s="458"/>
      <c r="M46" s="253">
        <v>0.62</v>
      </c>
      <c r="N46" s="313">
        <f>M46*I44</f>
        <v>70920571.641930699</v>
      </c>
      <c r="O46" s="248">
        <f t="shared" si="0"/>
        <v>3.4767763987286114E-2</v>
      </c>
      <c r="P46" s="242"/>
      <c r="Q46" s="242"/>
      <c r="R46" s="242"/>
      <c r="S46" s="242"/>
    </row>
    <row r="47" spans="1:19">
      <c r="A47" s="450"/>
      <c r="B47" s="428"/>
      <c r="C47" s="431"/>
      <c r="D47" s="366"/>
      <c r="E47" s="433" t="s">
        <v>258</v>
      </c>
      <c r="F47" s="434">
        <f>SUM(I47:I49)</f>
        <v>104031687.34</v>
      </c>
      <c r="G47" s="435">
        <f t="shared" si="1"/>
        <v>5.0999999984458602E-2</v>
      </c>
      <c r="H47" s="400" t="s">
        <v>259</v>
      </c>
      <c r="I47" s="457">
        <f>'PF_POR FESR'!F38</f>
        <v>95260388.211333334</v>
      </c>
      <c r="J47" s="423">
        <f t="shared" si="2"/>
        <v>4.6699999985768958E-2</v>
      </c>
      <c r="K47" s="306" t="s">
        <v>260</v>
      </c>
      <c r="L47" s="393">
        <f>SUM(M47:M48)</f>
        <v>1</v>
      </c>
      <c r="M47" s="253">
        <v>0.9</v>
      </c>
      <c r="N47" s="313">
        <f>M47*I47</f>
        <v>85734349.390200004</v>
      </c>
      <c r="O47" s="248">
        <f t="shared" si="0"/>
        <v>4.2029999987192056E-2</v>
      </c>
      <c r="P47" s="242"/>
      <c r="Q47" s="242"/>
      <c r="R47" s="242"/>
      <c r="S47" s="242"/>
    </row>
    <row r="48" spans="1:19">
      <c r="A48" s="450"/>
      <c r="B48" s="428"/>
      <c r="C48" s="431"/>
      <c r="D48" s="366"/>
      <c r="E48" s="433"/>
      <c r="F48" s="394"/>
      <c r="G48" s="435">
        <f t="shared" si="1"/>
        <v>0</v>
      </c>
      <c r="H48" s="400"/>
      <c r="I48" s="457"/>
      <c r="J48" s="423">
        <f t="shared" si="2"/>
        <v>0</v>
      </c>
      <c r="K48" s="306" t="s">
        <v>261</v>
      </c>
      <c r="L48" s="394"/>
      <c r="M48" s="253">
        <v>0.1</v>
      </c>
      <c r="N48" s="313">
        <f>+M48*I47</f>
        <v>9526038.8211333342</v>
      </c>
      <c r="O48" s="248">
        <f t="shared" si="0"/>
        <v>4.6699999985768958E-3</v>
      </c>
      <c r="P48" s="242"/>
      <c r="Q48" s="242"/>
      <c r="R48" s="242"/>
      <c r="S48" s="242"/>
    </row>
    <row r="49" spans="1:19" ht="28">
      <c r="A49" s="450"/>
      <c r="B49" s="428"/>
      <c r="C49" s="431"/>
      <c r="D49" s="366"/>
      <c r="E49" s="433"/>
      <c r="F49" s="394"/>
      <c r="G49" s="435">
        <f t="shared" si="1"/>
        <v>0</v>
      </c>
      <c r="H49" s="306" t="s">
        <v>262</v>
      </c>
      <c r="I49" s="309">
        <f>'PF_POR FESR'!F39</f>
        <v>8771299.1286666673</v>
      </c>
      <c r="J49" s="310">
        <f t="shared" si="2"/>
        <v>4.2999999986896471E-3</v>
      </c>
      <c r="K49" s="306" t="s">
        <v>263</v>
      </c>
      <c r="L49" s="301">
        <f>SUM(M49:M49)</f>
        <v>1</v>
      </c>
      <c r="M49" s="253">
        <v>1</v>
      </c>
      <c r="N49" s="313">
        <f>+M49*I49</f>
        <v>8771299.1286666673</v>
      </c>
      <c r="O49" s="248">
        <f t="shared" si="0"/>
        <v>4.2999999986896471E-3</v>
      </c>
      <c r="P49" s="242"/>
      <c r="Q49" s="242"/>
      <c r="R49" s="242"/>
      <c r="S49" s="242"/>
    </row>
    <row r="50" spans="1:19" ht="42">
      <c r="A50" s="450"/>
      <c r="B50" s="428"/>
      <c r="C50" s="431"/>
      <c r="D50" s="366"/>
      <c r="E50" s="433" t="s">
        <v>264</v>
      </c>
      <c r="F50" s="434">
        <f>SUM(I50:I53)</f>
        <v>95872339.313333333</v>
      </c>
      <c r="G50" s="435">
        <f t="shared" si="1"/>
        <v>4.6999999985677533E-2</v>
      </c>
      <c r="H50" s="306" t="s">
        <v>265</v>
      </c>
      <c r="I50" s="307">
        <f>'PF_POR FESR'!F41</f>
        <v>20398370.066666666</v>
      </c>
      <c r="J50" s="308">
        <f t="shared" si="2"/>
        <v>9.999999996952667E-3</v>
      </c>
      <c r="K50" s="306" t="s">
        <v>266</v>
      </c>
      <c r="L50" s="301">
        <f>SUM(M50)</f>
        <v>1</v>
      </c>
      <c r="M50" s="250">
        <v>1</v>
      </c>
      <c r="N50" s="249">
        <f>+M50*I50</f>
        <v>20398370.066666666</v>
      </c>
      <c r="O50" s="248">
        <f t="shared" si="0"/>
        <v>9.9999999969526653E-3</v>
      </c>
      <c r="P50" s="242"/>
      <c r="Q50" s="242"/>
      <c r="R50" s="242"/>
      <c r="S50" s="242"/>
    </row>
    <row r="51" spans="1:19" ht="28">
      <c r="A51" s="450"/>
      <c r="B51" s="428"/>
      <c r="C51" s="431"/>
      <c r="D51" s="366"/>
      <c r="E51" s="433"/>
      <c r="F51" s="394"/>
      <c r="G51" s="435">
        <f t="shared" si="1"/>
        <v>0</v>
      </c>
      <c r="H51" s="400" t="s">
        <v>267</v>
      </c>
      <c r="I51" s="455">
        <f>'PF_POR FESR'!F42</f>
        <v>55075599.180000007</v>
      </c>
      <c r="J51" s="456">
        <f t="shared" si="2"/>
        <v>2.6999999991772206E-2</v>
      </c>
      <c r="K51" s="306" t="s">
        <v>268</v>
      </c>
      <c r="L51" s="393">
        <f>SUM(M51:M52)</f>
        <v>1</v>
      </c>
      <c r="M51" s="250">
        <v>0.9</v>
      </c>
      <c r="N51" s="249">
        <f>+M51*I51</f>
        <v>49568039.262000009</v>
      </c>
      <c r="O51" s="248">
        <f t="shared" si="0"/>
        <v>2.4299999992594985E-2</v>
      </c>
      <c r="P51" s="242"/>
      <c r="Q51" s="242"/>
      <c r="R51" s="242"/>
      <c r="S51" s="242"/>
    </row>
    <row r="52" spans="1:19" ht="42">
      <c r="A52" s="450"/>
      <c r="B52" s="428"/>
      <c r="C52" s="431"/>
      <c r="D52" s="366"/>
      <c r="E52" s="433"/>
      <c r="F52" s="394"/>
      <c r="G52" s="435">
        <f t="shared" si="1"/>
        <v>0</v>
      </c>
      <c r="H52" s="400"/>
      <c r="I52" s="455"/>
      <c r="J52" s="456">
        <f t="shared" si="2"/>
        <v>0</v>
      </c>
      <c r="K52" s="306" t="s">
        <v>269</v>
      </c>
      <c r="L52" s="393"/>
      <c r="M52" s="250">
        <v>0.1</v>
      </c>
      <c r="N52" s="249">
        <f>+M52*I51</f>
        <v>5507559.9180000015</v>
      </c>
      <c r="O52" s="248">
        <f t="shared" si="0"/>
        <v>2.6999999991772208E-3</v>
      </c>
      <c r="P52" s="242"/>
      <c r="Q52" s="242"/>
      <c r="R52" s="242"/>
      <c r="S52" s="242"/>
    </row>
    <row r="53" spans="1:19" ht="28">
      <c r="A53" s="450"/>
      <c r="B53" s="428"/>
      <c r="C53" s="431"/>
      <c r="D53" s="366"/>
      <c r="E53" s="433"/>
      <c r="F53" s="394"/>
      <c r="G53" s="435">
        <f t="shared" si="1"/>
        <v>0</v>
      </c>
      <c r="H53" s="306" t="s">
        <v>270</v>
      </c>
      <c r="I53" s="307">
        <f>'PF_POR FESR'!F43</f>
        <v>20398370.066666666</v>
      </c>
      <c r="J53" s="308">
        <f t="shared" si="2"/>
        <v>9.999999996952667E-3</v>
      </c>
      <c r="K53" s="306" t="s">
        <v>271</v>
      </c>
      <c r="L53" s="301">
        <f>SUM(M53:M53)</f>
        <v>1</v>
      </c>
      <c r="M53" s="250">
        <v>1</v>
      </c>
      <c r="N53" s="307">
        <f>+M53*I53</f>
        <v>20398370.066666666</v>
      </c>
      <c r="O53" s="248">
        <f t="shared" si="0"/>
        <v>9.9999999969526653E-3</v>
      </c>
      <c r="P53" s="242"/>
      <c r="Q53" s="242"/>
      <c r="R53" s="242"/>
      <c r="S53" s="242"/>
    </row>
    <row r="54" spans="1:19" s="251" customFormat="1" ht="42">
      <c r="A54" s="451"/>
      <c r="B54" s="429"/>
      <c r="C54" s="432"/>
      <c r="D54" s="367"/>
      <c r="E54" s="300" t="s">
        <v>272</v>
      </c>
      <c r="F54" s="247">
        <f>SUM(I54)</f>
        <v>10199185.033333333</v>
      </c>
      <c r="G54" s="305">
        <f t="shared" si="1"/>
        <v>4.9999999984763335E-3</v>
      </c>
      <c r="H54" s="306" t="s">
        <v>273</v>
      </c>
      <c r="I54" s="309">
        <f>'PF_POR FESR'!F40</f>
        <v>10199185.033333333</v>
      </c>
      <c r="J54" s="310">
        <f t="shared" si="2"/>
        <v>4.9999999984763335E-3</v>
      </c>
      <c r="K54" s="306" t="s">
        <v>274</v>
      </c>
      <c r="L54" s="301">
        <f>SUM(M54:M54)</f>
        <v>1</v>
      </c>
      <c r="M54" s="253">
        <v>1</v>
      </c>
      <c r="N54" s="313">
        <f>+M54*I54</f>
        <v>10199185.033333333</v>
      </c>
      <c r="O54" s="248">
        <f t="shared" si="0"/>
        <v>4.9999999984763326E-3</v>
      </c>
      <c r="P54" s="242"/>
      <c r="Q54" s="242"/>
      <c r="R54" s="242"/>
      <c r="S54" s="242"/>
    </row>
    <row r="55" spans="1:19" ht="42">
      <c r="A55" s="449" t="s">
        <v>404</v>
      </c>
      <c r="B55" s="427">
        <f>SUM(F55:F57)</f>
        <v>223520321.33496583</v>
      </c>
      <c r="C55" s="430">
        <f>+B55/B$75</f>
        <v>0.10957754003694158</v>
      </c>
      <c r="D55" s="365">
        <f>B55/B$123</f>
        <v>9.3957283027954933E-2</v>
      </c>
      <c r="E55" s="433" t="s">
        <v>275</v>
      </c>
      <c r="F55" s="434">
        <f>SUM(I55:I56)</f>
        <v>201082114.26163247</v>
      </c>
      <c r="G55" s="435">
        <f t="shared" si="1"/>
        <v>9.8577540040293649E-2</v>
      </c>
      <c r="H55" s="306" t="s">
        <v>308</v>
      </c>
      <c r="I55" s="307">
        <f>'PF_POR FESR'!F47</f>
        <v>143966678.0749658</v>
      </c>
      <c r="J55" s="308">
        <f t="shared" si="2"/>
        <v>7.0577540048826173E-2</v>
      </c>
      <c r="K55" s="306" t="s">
        <v>276</v>
      </c>
      <c r="L55" s="258">
        <f>SUM(M55:M55)</f>
        <v>1</v>
      </c>
      <c r="M55" s="259">
        <v>1</v>
      </c>
      <c r="N55" s="280">
        <f>M55*I55</f>
        <v>143966678.0749658</v>
      </c>
      <c r="O55" s="248">
        <f t="shared" si="0"/>
        <v>7.057754004882616E-2</v>
      </c>
      <c r="P55" s="242"/>
      <c r="Q55" s="242"/>
      <c r="R55" s="242"/>
      <c r="S55" s="242"/>
    </row>
    <row r="56" spans="1:19" ht="28">
      <c r="A56" s="450"/>
      <c r="B56" s="428"/>
      <c r="C56" s="431"/>
      <c r="D56" s="366"/>
      <c r="E56" s="433"/>
      <c r="F56" s="394"/>
      <c r="G56" s="435">
        <f t="shared" si="1"/>
        <v>0</v>
      </c>
      <c r="H56" s="306" t="s">
        <v>309</v>
      </c>
      <c r="I56" s="307">
        <f>'PF_POR FESR'!F48</f>
        <v>57115436.18666666</v>
      </c>
      <c r="J56" s="308">
        <f t="shared" si="2"/>
        <v>2.7999999991467465E-2</v>
      </c>
      <c r="K56" s="306" t="s">
        <v>277</v>
      </c>
      <c r="L56" s="258">
        <f>SUM(M56)</f>
        <v>1</v>
      </c>
      <c r="M56" s="259">
        <v>1</v>
      </c>
      <c r="N56" s="280">
        <f>+M56*I56</f>
        <v>57115436.18666666</v>
      </c>
      <c r="O56" s="248">
        <f t="shared" si="0"/>
        <v>2.7999999991467461E-2</v>
      </c>
      <c r="P56" s="242"/>
      <c r="Q56" s="242"/>
      <c r="R56" s="242"/>
      <c r="S56" s="242"/>
    </row>
    <row r="57" spans="1:19" ht="42" customHeight="1">
      <c r="A57" s="451"/>
      <c r="B57" s="429"/>
      <c r="C57" s="432"/>
      <c r="D57" s="367"/>
      <c r="E57" s="300" t="s">
        <v>278</v>
      </c>
      <c r="F57" s="304">
        <f>SUM(I57)</f>
        <v>22438207.073333338</v>
      </c>
      <c r="G57" s="305">
        <f t="shared" si="1"/>
        <v>1.0999999996647936E-2</v>
      </c>
      <c r="H57" s="306" t="s">
        <v>310</v>
      </c>
      <c r="I57" s="307">
        <f>'PF_POR FESR'!F46</f>
        <v>22438207.073333338</v>
      </c>
      <c r="J57" s="308">
        <f t="shared" si="2"/>
        <v>1.0999999996647936E-2</v>
      </c>
      <c r="K57" s="306" t="s">
        <v>279</v>
      </c>
      <c r="L57" s="258">
        <f>SUM(M57:M57)</f>
        <v>1</v>
      </c>
      <c r="M57" s="259">
        <v>1</v>
      </c>
      <c r="N57" s="280">
        <f>+M57*I57</f>
        <v>22438207.073333338</v>
      </c>
      <c r="O57" s="248">
        <f t="shared" si="0"/>
        <v>1.0999999996647934E-2</v>
      </c>
      <c r="P57" s="242"/>
      <c r="Q57" s="242"/>
      <c r="R57" s="242"/>
      <c r="S57" s="242"/>
    </row>
    <row r="58" spans="1:19" s="251" customFormat="1" ht="42">
      <c r="A58" s="449" t="s">
        <v>325</v>
      </c>
      <c r="B58" s="427">
        <f>SUM(F58:F66)</f>
        <v>148982592.78305823</v>
      </c>
      <c r="C58" s="430">
        <f>+B58/B$75</f>
        <v>7.3036518236872919E-2</v>
      </c>
      <c r="D58" s="365">
        <f>B58/B$123</f>
        <v>6.262517677477325E-2</v>
      </c>
      <c r="E58" s="433" t="s">
        <v>280</v>
      </c>
      <c r="F58" s="434">
        <f>SUM(I58)</f>
        <v>79628134.556391537</v>
      </c>
      <c r="G58" s="435">
        <f t="shared" si="1"/>
        <v>3.9036518247233844E-2</v>
      </c>
      <c r="H58" s="400" t="s">
        <v>311</v>
      </c>
      <c r="I58" s="459">
        <f>'PF_POR FESR'!F61</f>
        <v>79628134.556391537</v>
      </c>
      <c r="J58" s="460">
        <f t="shared" si="2"/>
        <v>3.9036518247233844E-2</v>
      </c>
      <c r="K58" s="306" t="s">
        <v>281</v>
      </c>
      <c r="L58" s="393">
        <f>SUM(M58:M60)</f>
        <v>1</v>
      </c>
      <c r="M58" s="260">
        <v>0.35</v>
      </c>
      <c r="N58" s="313">
        <f>+M58*I58</f>
        <v>27869847.094737038</v>
      </c>
      <c r="O58" s="248">
        <f t="shared" si="0"/>
        <v>1.3662781386531844E-2</v>
      </c>
      <c r="P58" s="242"/>
      <c r="Q58" s="242"/>
      <c r="R58" s="242"/>
      <c r="S58" s="242"/>
    </row>
    <row r="59" spans="1:19" s="251" customFormat="1" ht="28">
      <c r="A59" s="450"/>
      <c r="B59" s="428"/>
      <c r="C59" s="431"/>
      <c r="D59" s="366"/>
      <c r="E59" s="433"/>
      <c r="F59" s="394"/>
      <c r="G59" s="435">
        <f t="shared" si="1"/>
        <v>0</v>
      </c>
      <c r="H59" s="400"/>
      <c r="I59" s="459"/>
      <c r="J59" s="460">
        <f t="shared" si="2"/>
        <v>0</v>
      </c>
      <c r="K59" s="306" t="s">
        <v>282</v>
      </c>
      <c r="L59" s="394"/>
      <c r="M59" s="260">
        <v>0.15</v>
      </c>
      <c r="N59" s="313">
        <f>+M59*I58</f>
        <v>11944220.183458731</v>
      </c>
      <c r="O59" s="248">
        <f t="shared" si="0"/>
        <v>5.8554777370850757E-3</v>
      </c>
      <c r="P59" s="242"/>
      <c r="Q59" s="242"/>
      <c r="R59" s="242"/>
      <c r="S59" s="242"/>
    </row>
    <row r="60" spans="1:19" s="251" customFormat="1" ht="56">
      <c r="A60" s="450"/>
      <c r="B60" s="428"/>
      <c r="C60" s="431"/>
      <c r="D60" s="366"/>
      <c r="E60" s="433"/>
      <c r="F60" s="394"/>
      <c r="G60" s="435">
        <f t="shared" si="1"/>
        <v>0</v>
      </c>
      <c r="H60" s="400"/>
      <c r="I60" s="459"/>
      <c r="J60" s="460">
        <f t="shared" si="2"/>
        <v>0</v>
      </c>
      <c r="K60" s="306" t="s">
        <v>283</v>
      </c>
      <c r="L60" s="394"/>
      <c r="M60" s="260">
        <v>0.5</v>
      </c>
      <c r="N60" s="313">
        <f>+M60*I58</f>
        <v>39814067.278195769</v>
      </c>
      <c r="O60" s="248">
        <f t="shared" si="0"/>
        <v>1.9518259123616918E-2</v>
      </c>
      <c r="P60" s="242"/>
      <c r="Q60" s="242"/>
      <c r="R60" s="242"/>
      <c r="S60" s="242"/>
    </row>
    <row r="61" spans="1:19" s="251" customFormat="1" ht="56">
      <c r="A61" s="450"/>
      <c r="B61" s="428"/>
      <c r="C61" s="431"/>
      <c r="D61" s="366"/>
      <c r="E61" s="433" t="s">
        <v>284</v>
      </c>
      <c r="F61" s="434">
        <f>SUM(I61:I66)</f>
        <v>69354458.226666674</v>
      </c>
      <c r="G61" s="435">
        <f t="shared" si="1"/>
        <v>3.3999999989639075E-2</v>
      </c>
      <c r="H61" s="433" t="s">
        <v>312</v>
      </c>
      <c r="I61" s="459">
        <f>'PF_POR FESR'!F62</f>
        <v>40082797.181000002</v>
      </c>
      <c r="J61" s="460">
        <f t="shared" si="2"/>
        <v>1.9649999994011992E-2</v>
      </c>
      <c r="K61" s="311" t="s">
        <v>285</v>
      </c>
      <c r="L61" s="404">
        <f>SUM(M61:M62)</f>
        <v>1</v>
      </c>
      <c r="M61" s="260">
        <v>0.55000000000000004</v>
      </c>
      <c r="N61" s="313">
        <f>+M61*I61</f>
        <v>22045538.449550003</v>
      </c>
      <c r="O61" s="248">
        <f t="shared" si="0"/>
        <v>1.0807499996706596E-2</v>
      </c>
      <c r="P61" s="242"/>
      <c r="Q61" s="242"/>
      <c r="R61" s="242"/>
      <c r="S61" s="242"/>
    </row>
    <row r="62" spans="1:19" s="251" customFormat="1" ht="28">
      <c r="A62" s="450"/>
      <c r="B62" s="428"/>
      <c r="C62" s="431"/>
      <c r="D62" s="366"/>
      <c r="E62" s="433"/>
      <c r="F62" s="394"/>
      <c r="G62" s="435">
        <f t="shared" si="1"/>
        <v>0</v>
      </c>
      <c r="H62" s="433"/>
      <c r="I62" s="459"/>
      <c r="J62" s="460">
        <f t="shared" si="2"/>
        <v>0</v>
      </c>
      <c r="K62" s="311" t="s">
        <v>286</v>
      </c>
      <c r="L62" s="404"/>
      <c r="M62" s="260">
        <v>0.45</v>
      </c>
      <c r="N62" s="313">
        <f>+M62*I61</f>
        <v>18037258.731450003</v>
      </c>
      <c r="O62" s="248">
        <f t="shared" si="0"/>
        <v>8.8424999973053964E-3</v>
      </c>
      <c r="P62" s="242"/>
      <c r="Q62" s="242"/>
      <c r="R62" s="242"/>
      <c r="S62" s="242"/>
    </row>
    <row r="63" spans="1:19" s="251" customFormat="1" ht="42">
      <c r="A63" s="450"/>
      <c r="B63" s="428"/>
      <c r="C63" s="431"/>
      <c r="D63" s="366"/>
      <c r="E63" s="433"/>
      <c r="F63" s="394"/>
      <c r="G63" s="435">
        <f t="shared" si="1"/>
        <v>0</v>
      </c>
      <c r="H63" s="446" t="s">
        <v>313</v>
      </c>
      <c r="I63" s="459">
        <f>'PF_POR FESR'!F63</f>
        <v>12952964.992333336</v>
      </c>
      <c r="J63" s="460">
        <f t="shared" si="2"/>
        <v>6.3499999980649452E-3</v>
      </c>
      <c r="K63" s="311" t="s">
        <v>314</v>
      </c>
      <c r="L63" s="404">
        <f>SUM(M63:M64)</f>
        <v>1</v>
      </c>
      <c r="M63" s="260">
        <v>0.5</v>
      </c>
      <c r="N63" s="313">
        <f>+M63*I63</f>
        <v>6476482.4961666679</v>
      </c>
      <c r="O63" s="248">
        <f t="shared" si="0"/>
        <v>3.1749999990324722E-3</v>
      </c>
      <c r="P63" s="242"/>
      <c r="Q63" s="242"/>
      <c r="R63" s="242"/>
      <c r="S63" s="242"/>
    </row>
    <row r="64" spans="1:19" s="251" customFormat="1" ht="56">
      <c r="A64" s="450"/>
      <c r="B64" s="428"/>
      <c r="C64" s="431"/>
      <c r="D64" s="366"/>
      <c r="E64" s="433"/>
      <c r="F64" s="394"/>
      <c r="G64" s="435">
        <f t="shared" si="1"/>
        <v>0</v>
      </c>
      <c r="H64" s="446"/>
      <c r="I64" s="459"/>
      <c r="J64" s="460">
        <f t="shared" si="2"/>
        <v>0</v>
      </c>
      <c r="K64" s="306" t="s">
        <v>287</v>
      </c>
      <c r="L64" s="404"/>
      <c r="M64" s="260">
        <v>0.5</v>
      </c>
      <c r="N64" s="313">
        <f>+M64*I63</f>
        <v>6476482.4961666679</v>
      </c>
      <c r="O64" s="248">
        <f t="shared" si="0"/>
        <v>3.1749999990324722E-3</v>
      </c>
      <c r="P64" s="242"/>
      <c r="Q64" s="242"/>
      <c r="R64" s="242"/>
      <c r="S64" s="242"/>
    </row>
    <row r="65" spans="1:19" s="251" customFormat="1" ht="28">
      <c r="A65" s="450"/>
      <c r="B65" s="428"/>
      <c r="C65" s="431"/>
      <c r="D65" s="366"/>
      <c r="E65" s="433"/>
      <c r="F65" s="394"/>
      <c r="G65" s="435"/>
      <c r="H65" s="446" t="s">
        <v>315</v>
      </c>
      <c r="I65" s="459">
        <f>'PF_POR FESR'!F64</f>
        <v>16318696.053333333</v>
      </c>
      <c r="J65" s="460">
        <f t="shared" si="2"/>
        <v>7.9999999975621343E-3</v>
      </c>
      <c r="K65" s="306" t="s">
        <v>316</v>
      </c>
      <c r="L65" s="404">
        <f>SUM(M65:M66)</f>
        <v>1</v>
      </c>
      <c r="M65" s="260">
        <v>0.4</v>
      </c>
      <c r="N65" s="281">
        <f>+M65*I65</f>
        <v>6527478.4213333335</v>
      </c>
      <c r="O65" s="248">
        <f t="shared" si="0"/>
        <v>3.1999999990248531E-3</v>
      </c>
      <c r="P65" s="242"/>
      <c r="Q65" s="242"/>
      <c r="R65" s="242"/>
      <c r="S65" s="242"/>
    </row>
    <row r="66" spans="1:19" s="251" customFormat="1" ht="28">
      <c r="A66" s="451"/>
      <c r="B66" s="429"/>
      <c r="C66" s="432"/>
      <c r="D66" s="367"/>
      <c r="E66" s="433"/>
      <c r="F66" s="394"/>
      <c r="G66" s="435">
        <f>+F66/F$75</f>
        <v>0</v>
      </c>
      <c r="H66" s="446"/>
      <c r="I66" s="459"/>
      <c r="J66" s="460">
        <f t="shared" si="2"/>
        <v>0</v>
      </c>
      <c r="K66" s="306" t="s">
        <v>288</v>
      </c>
      <c r="L66" s="404"/>
      <c r="M66" s="260">
        <v>0.6</v>
      </c>
      <c r="N66" s="281">
        <f>+M66*I65</f>
        <v>9791217.6319999993</v>
      </c>
      <c r="O66" s="248">
        <f t="shared" si="0"/>
        <v>4.799999998537279E-3</v>
      </c>
      <c r="P66" s="242"/>
      <c r="Q66" s="242"/>
      <c r="R66" s="242"/>
      <c r="S66" s="242"/>
    </row>
    <row r="67" spans="1:19" s="251" customFormat="1" ht="42">
      <c r="A67" s="449" t="s">
        <v>317</v>
      </c>
      <c r="B67" s="427">
        <f>SUM(F67)</f>
        <v>145921305.75605699</v>
      </c>
      <c r="C67" s="430">
        <f>+B67/B$75</f>
        <v>7.1535767433713968E-2</v>
      </c>
      <c r="D67" s="365">
        <f>B67/B$123</f>
        <v>6.133835770656549E-2</v>
      </c>
      <c r="E67" s="433" t="s">
        <v>289</v>
      </c>
      <c r="F67" s="434">
        <f>SUM(I67:I70)</f>
        <v>145921305.75605699</v>
      </c>
      <c r="G67" s="435">
        <f>3.25+0.3-0.6</f>
        <v>2.9499999999999997</v>
      </c>
      <c r="H67" s="300" t="s">
        <v>318</v>
      </c>
      <c r="I67" s="302">
        <f>'PF_POR FESR'!F68</f>
        <v>44949374.639999948</v>
      </c>
      <c r="J67" s="303">
        <f t="shared" si="2"/>
        <v>2.2035767798798268E-2</v>
      </c>
      <c r="K67" s="306" t="s">
        <v>290</v>
      </c>
      <c r="L67" s="301">
        <f>SUM(M67:M67)</f>
        <v>1</v>
      </c>
      <c r="M67" s="173">
        <v>1</v>
      </c>
      <c r="N67" s="313">
        <f>+M67*I67</f>
        <v>44949374.639999948</v>
      </c>
      <c r="O67" s="248">
        <f t="shared" si="0"/>
        <v>2.2035767798798265E-2</v>
      </c>
      <c r="P67" s="242"/>
      <c r="Q67" s="242"/>
      <c r="R67" s="242"/>
      <c r="S67" s="242"/>
    </row>
    <row r="68" spans="1:19" s="251" customFormat="1" ht="56">
      <c r="A68" s="450"/>
      <c r="B68" s="428"/>
      <c r="C68" s="431"/>
      <c r="D68" s="366"/>
      <c r="E68" s="433"/>
      <c r="F68" s="394"/>
      <c r="G68" s="435"/>
      <c r="H68" s="288" t="s">
        <v>291</v>
      </c>
      <c r="I68" s="302">
        <f>'PF_POR FESR'!F70</f>
        <v>60175191.696666665</v>
      </c>
      <c r="J68" s="303">
        <f t="shared" si="2"/>
        <v>2.9499999991010366E-2</v>
      </c>
      <c r="K68" s="306" t="s">
        <v>292</v>
      </c>
      <c r="L68" s="301">
        <f>SUM(M68:M68)</f>
        <v>1</v>
      </c>
      <c r="M68" s="173">
        <v>1</v>
      </c>
      <c r="N68" s="282">
        <f>+M68*I68</f>
        <v>60175191.696666665</v>
      </c>
      <c r="O68" s="248">
        <f t="shared" si="0"/>
        <v>2.9499999991010363E-2</v>
      </c>
      <c r="P68" s="242"/>
      <c r="Q68" s="242"/>
      <c r="R68" s="242"/>
      <c r="S68" s="242"/>
    </row>
    <row r="69" spans="1:19" s="251" customFormat="1" ht="70">
      <c r="A69" s="450"/>
      <c r="B69" s="428"/>
      <c r="C69" s="431"/>
      <c r="D69" s="366"/>
      <c r="E69" s="433"/>
      <c r="F69" s="394"/>
      <c r="G69" s="435">
        <f t="shared" ref="G69:G75" si="3">+F69/F$75</f>
        <v>0</v>
      </c>
      <c r="H69" s="433" t="s">
        <v>293</v>
      </c>
      <c r="I69" s="459">
        <f>'PF_POR FESR'!F71</f>
        <v>40796739.419390388</v>
      </c>
      <c r="J69" s="460">
        <f t="shared" si="2"/>
        <v>1.999999964390534E-2</v>
      </c>
      <c r="K69" s="306" t="s">
        <v>294</v>
      </c>
      <c r="L69" s="393">
        <f>SUM(M69:M70)</f>
        <v>1</v>
      </c>
      <c r="M69" s="173">
        <v>0.8</v>
      </c>
      <c r="N69" s="281">
        <f>+M69*I69</f>
        <v>32637391.535512313</v>
      </c>
      <c r="O69" s="248">
        <f t="shared" si="0"/>
        <v>1.599999971512427E-2</v>
      </c>
      <c r="P69" s="242"/>
      <c r="Q69" s="242"/>
      <c r="R69" s="242"/>
      <c r="S69" s="242"/>
    </row>
    <row r="70" spans="1:19" s="251" customFormat="1" ht="28">
      <c r="A70" s="451"/>
      <c r="B70" s="429"/>
      <c r="C70" s="432"/>
      <c r="D70" s="367"/>
      <c r="E70" s="433"/>
      <c r="F70" s="394"/>
      <c r="G70" s="435">
        <f t="shared" si="3"/>
        <v>0</v>
      </c>
      <c r="H70" s="433"/>
      <c r="I70" s="459"/>
      <c r="J70" s="460"/>
      <c r="K70" s="306" t="s">
        <v>295</v>
      </c>
      <c r="L70" s="458"/>
      <c r="M70" s="173">
        <v>0.2</v>
      </c>
      <c r="N70" s="281">
        <f>+M70*I69</f>
        <v>8159347.8838780783</v>
      </c>
      <c r="O70" s="248">
        <f t="shared" ref="O70:O75" si="4">+N70/N$75</f>
        <v>3.9999999287810674E-3</v>
      </c>
      <c r="P70" s="242"/>
      <c r="Q70" s="242"/>
      <c r="R70" s="242"/>
      <c r="S70" s="242"/>
    </row>
    <row r="71" spans="1:19" ht="14" customHeight="1">
      <c r="A71" s="463" t="s">
        <v>403</v>
      </c>
      <c r="B71" s="412">
        <f>SUM(F71)</f>
        <v>68334539.723333329</v>
      </c>
      <c r="C71" s="466">
        <f>+B71/B$75</f>
        <v>3.3499999989791432E-2</v>
      </c>
      <c r="D71" s="397">
        <f>B71/B123</f>
        <v>2.8724581510190767E-2</v>
      </c>
      <c r="E71" s="469"/>
      <c r="F71" s="461">
        <f>SUM(I71)</f>
        <v>68334539.723333329</v>
      </c>
      <c r="G71" s="462">
        <f t="shared" si="3"/>
        <v>3.3499999989791432E-2</v>
      </c>
      <c r="H71" s="433" t="s">
        <v>401</v>
      </c>
      <c r="I71" s="461">
        <f>'PF_POR FESR'!F79</f>
        <v>68334539.723333329</v>
      </c>
      <c r="J71" s="462">
        <f t="shared" si="2"/>
        <v>3.3499999989791432E-2</v>
      </c>
      <c r="K71" s="306" t="s">
        <v>319</v>
      </c>
      <c r="L71" s="393">
        <f>SUM(M71:M74)</f>
        <v>1</v>
      </c>
      <c r="M71" s="173">
        <v>0.31</v>
      </c>
      <c r="N71" s="313">
        <f>+M71*I71</f>
        <v>21183707.314233333</v>
      </c>
      <c r="O71" s="248">
        <f t="shared" si="4"/>
        <v>1.0384999996835344E-2</v>
      </c>
      <c r="P71" s="242"/>
      <c r="Q71" s="242"/>
      <c r="R71" s="242"/>
      <c r="S71" s="242"/>
    </row>
    <row r="72" spans="1:19">
      <c r="A72" s="464"/>
      <c r="B72" s="413"/>
      <c r="C72" s="467"/>
      <c r="D72" s="398">
        <f>B72/B$123</f>
        <v>0</v>
      </c>
      <c r="E72" s="469"/>
      <c r="F72" s="461"/>
      <c r="G72" s="462"/>
      <c r="H72" s="433"/>
      <c r="I72" s="461"/>
      <c r="J72" s="462"/>
      <c r="K72" s="306" t="s">
        <v>320</v>
      </c>
      <c r="L72" s="393"/>
      <c r="M72" s="173">
        <v>0.5</v>
      </c>
      <c r="N72" s="281">
        <f>+M72*I71</f>
        <v>34167269.861666664</v>
      </c>
      <c r="O72" s="248">
        <f t="shared" si="4"/>
        <v>1.6749999994895716E-2</v>
      </c>
      <c r="P72" s="261"/>
      <c r="Q72" s="242"/>
      <c r="R72" s="242"/>
      <c r="S72" s="242"/>
    </row>
    <row r="73" spans="1:19">
      <c r="A73" s="464"/>
      <c r="B73" s="413"/>
      <c r="C73" s="467"/>
      <c r="D73" s="398"/>
      <c r="E73" s="469"/>
      <c r="F73" s="461"/>
      <c r="G73" s="462"/>
      <c r="H73" s="433"/>
      <c r="I73" s="461"/>
      <c r="J73" s="462"/>
      <c r="K73" s="306" t="s">
        <v>321</v>
      </c>
      <c r="L73" s="393"/>
      <c r="M73" s="173">
        <v>0.12</v>
      </c>
      <c r="N73" s="281">
        <f>+M73*I71</f>
        <v>8200144.7667999994</v>
      </c>
      <c r="O73" s="248">
        <f t="shared" si="4"/>
        <v>4.0199999987749714E-3</v>
      </c>
      <c r="P73" s="242"/>
      <c r="Q73" s="242"/>
      <c r="R73" s="242"/>
      <c r="S73" s="242"/>
    </row>
    <row r="74" spans="1:19">
      <c r="A74" s="465"/>
      <c r="B74" s="414"/>
      <c r="C74" s="468"/>
      <c r="D74" s="399"/>
      <c r="E74" s="469"/>
      <c r="F74" s="461"/>
      <c r="G74" s="462"/>
      <c r="H74" s="433"/>
      <c r="I74" s="461"/>
      <c r="J74" s="462"/>
      <c r="K74" s="306" t="s">
        <v>322</v>
      </c>
      <c r="L74" s="393"/>
      <c r="M74" s="173">
        <v>7.0000000000000007E-2</v>
      </c>
      <c r="N74" s="281">
        <f>+M74*I71</f>
        <v>4783417.7806333331</v>
      </c>
      <c r="O74" s="248">
        <f t="shared" si="4"/>
        <v>2.3449999992854E-3</v>
      </c>
      <c r="P74" s="242"/>
      <c r="Q74" s="242"/>
      <c r="R74" s="242"/>
      <c r="S74" s="242"/>
    </row>
    <row r="75" spans="1:19" s="251" customFormat="1" ht="28">
      <c r="A75" s="262" t="s">
        <v>323</v>
      </c>
      <c r="B75" s="263">
        <f>SUM(B6:B71)</f>
        <v>2039837007.2882731</v>
      </c>
      <c r="C75" s="264">
        <f>+B75/B$75</f>
        <v>1</v>
      </c>
      <c r="D75" s="287">
        <f>B75/B$123</f>
        <v>0.85745019459534655</v>
      </c>
      <c r="E75" s="265"/>
      <c r="F75" s="263">
        <f>SUM(F6:F71)</f>
        <v>2039837007.2882729</v>
      </c>
      <c r="G75" s="264">
        <f t="shared" si="3"/>
        <v>1</v>
      </c>
      <c r="H75" s="289"/>
      <c r="I75" s="263">
        <f>SUM(I6:I71)</f>
        <v>2039837007.2882729</v>
      </c>
      <c r="J75" s="267">
        <f t="shared" si="2"/>
        <v>1</v>
      </c>
      <c r="K75" s="268"/>
      <c r="L75" s="269"/>
      <c r="M75" s="269"/>
      <c r="N75" s="283">
        <f>SUM(N6:N74)</f>
        <v>2039837007.2882731</v>
      </c>
      <c r="O75" s="270">
        <f t="shared" si="4"/>
        <v>1</v>
      </c>
      <c r="P75" s="242"/>
      <c r="Q75" s="242"/>
      <c r="R75" s="242"/>
      <c r="S75" s="242"/>
    </row>
    <row r="76" spans="1:19" ht="42" customHeight="1">
      <c r="A76" s="470" t="s">
        <v>408</v>
      </c>
      <c r="B76" s="473">
        <f>SUM(F76:F90)</f>
        <v>168750000</v>
      </c>
      <c r="C76" s="430">
        <f>B76/B122</f>
        <v>0.49761170719533471</v>
      </c>
      <c r="D76" s="365">
        <f>B76/B$123</f>
        <v>7.0934452027772349E-2</v>
      </c>
      <c r="E76" s="385" t="s">
        <v>350</v>
      </c>
      <c r="F76" s="373">
        <f>SUM(I76)</f>
        <v>46000000</v>
      </c>
      <c r="G76" s="365">
        <f>F76/F$122</f>
        <v>0.13564526536880236</v>
      </c>
      <c r="H76" s="390" t="s">
        <v>396</v>
      </c>
      <c r="I76" s="373">
        <f>'PF_POR FESR'!I55</f>
        <v>46000000</v>
      </c>
      <c r="J76" s="365">
        <f>+I76/I$122</f>
        <v>0.13564526536880236</v>
      </c>
      <c r="K76" s="271" t="s">
        <v>334</v>
      </c>
      <c r="L76" s="365">
        <f>SUM(M76:M78)</f>
        <v>1</v>
      </c>
      <c r="M76" s="173">
        <v>0.39130434782608697</v>
      </c>
      <c r="N76" s="281">
        <f>+M76*I76</f>
        <v>18000000</v>
      </c>
      <c r="O76" s="248">
        <f t="shared" ref="O76:O121" si="5">+N76/N$122</f>
        <v>5.3078582100835707E-2</v>
      </c>
      <c r="P76" s="242"/>
      <c r="Q76" s="242"/>
      <c r="R76" s="242"/>
      <c r="S76" s="242"/>
    </row>
    <row r="77" spans="1:19" ht="28">
      <c r="A77" s="471"/>
      <c r="B77" s="474"/>
      <c r="C77" s="431"/>
      <c r="D77" s="366"/>
      <c r="E77" s="386"/>
      <c r="F77" s="374"/>
      <c r="G77" s="366"/>
      <c r="H77" s="391"/>
      <c r="I77" s="374"/>
      <c r="J77" s="366"/>
      <c r="K77" s="272" t="s">
        <v>335</v>
      </c>
      <c r="L77" s="366"/>
      <c r="M77" s="173">
        <v>0.32608695652173914</v>
      </c>
      <c r="N77" s="281">
        <f>M77*I76</f>
        <v>15000000</v>
      </c>
      <c r="O77" s="248">
        <f t="shared" si="5"/>
        <v>4.4232151750696419E-2</v>
      </c>
      <c r="P77" s="242"/>
      <c r="Q77" s="242"/>
      <c r="R77" s="242"/>
      <c r="S77" s="242"/>
    </row>
    <row r="78" spans="1:19" ht="42" customHeight="1">
      <c r="A78" s="471"/>
      <c r="B78" s="474"/>
      <c r="C78" s="431"/>
      <c r="D78" s="366"/>
      <c r="E78" s="387"/>
      <c r="F78" s="375"/>
      <c r="G78" s="367"/>
      <c r="H78" s="392"/>
      <c r="I78" s="375"/>
      <c r="J78" s="367"/>
      <c r="K78" s="271" t="s">
        <v>336</v>
      </c>
      <c r="L78" s="367"/>
      <c r="M78" s="173">
        <v>0.28260869565217389</v>
      </c>
      <c r="N78" s="281">
        <f>+M78*I76</f>
        <v>12999999.999999998</v>
      </c>
      <c r="O78" s="248">
        <f t="shared" si="5"/>
        <v>3.8334531517270225E-2</v>
      </c>
      <c r="P78" s="242"/>
      <c r="Q78" s="242"/>
      <c r="R78" s="242"/>
      <c r="S78" s="242"/>
    </row>
    <row r="79" spans="1:19" ht="42" customHeight="1">
      <c r="A79" s="471"/>
      <c r="B79" s="474"/>
      <c r="C79" s="431"/>
      <c r="D79" s="366"/>
      <c r="E79" s="476" t="s">
        <v>351</v>
      </c>
      <c r="F79" s="373">
        <f>SUM(I79)</f>
        <v>45000000</v>
      </c>
      <c r="G79" s="365">
        <f>F79/F$122</f>
        <v>0.13269645525208926</v>
      </c>
      <c r="H79" s="478" t="s">
        <v>397</v>
      </c>
      <c r="I79" s="480">
        <f>'PF_POR FESR'!I51</f>
        <v>45000000</v>
      </c>
      <c r="J79" s="379">
        <f>+I79/I$122</f>
        <v>0.13269645525208926</v>
      </c>
      <c r="K79" s="272" t="s">
        <v>328</v>
      </c>
      <c r="L79" s="443">
        <f>SUM(M79:M82)</f>
        <v>1</v>
      </c>
      <c r="M79" s="173">
        <v>0.22222222222222221</v>
      </c>
      <c r="N79" s="281">
        <f>+M79*I79</f>
        <v>10000000</v>
      </c>
      <c r="O79" s="248">
        <f t="shared" si="5"/>
        <v>2.9488101167130947E-2</v>
      </c>
      <c r="Q79" s="242"/>
      <c r="R79" s="242"/>
      <c r="S79" s="242"/>
    </row>
    <row r="80" spans="1:19" ht="42" customHeight="1">
      <c r="A80" s="471"/>
      <c r="B80" s="474"/>
      <c r="C80" s="431"/>
      <c r="D80" s="366"/>
      <c r="E80" s="477"/>
      <c r="F80" s="374"/>
      <c r="G80" s="366"/>
      <c r="H80" s="479"/>
      <c r="I80" s="481"/>
      <c r="J80" s="380"/>
      <c r="K80" s="274" t="s">
        <v>337</v>
      </c>
      <c r="L80" s="444"/>
      <c r="M80" s="173">
        <v>0.53333333333333333</v>
      </c>
      <c r="N80" s="281">
        <f>+M80*I79</f>
        <v>24000000</v>
      </c>
      <c r="O80" s="248">
        <f t="shared" si="5"/>
        <v>7.0771442801114276E-2</v>
      </c>
      <c r="Q80" s="242"/>
      <c r="R80" s="242"/>
      <c r="S80" s="242"/>
    </row>
    <row r="81" spans="1:19" ht="42" customHeight="1">
      <c r="A81" s="471"/>
      <c r="B81" s="474"/>
      <c r="C81" s="431"/>
      <c r="D81" s="366"/>
      <c r="E81" s="477"/>
      <c r="F81" s="374"/>
      <c r="G81" s="366"/>
      <c r="H81" s="479"/>
      <c r="I81" s="481"/>
      <c r="J81" s="380"/>
      <c r="K81" s="272" t="s">
        <v>338</v>
      </c>
      <c r="L81" s="444"/>
      <c r="M81" s="173">
        <v>0.17777777777777778</v>
      </c>
      <c r="N81" s="281">
        <f>+M81*I79</f>
        <v>8000000</v>
      </c>
      <c r="O81" s="248">
        <f t="shared" si="5"/>
        <v>2.3590480933704756E-2</v>
      </c>
      <c r="Q81" s="242"/>
      <c r="R81" s="242"/>
      <c r="S81" s="242"/>
    </row>
    <row r="82" spans="1:19" ht="42" customHeight="1">
      <c r="A82" s="471"/>
      <c r="B82" s="474"/>
      <c r="C82" s="431"/>
      <c r="D82" s="366"/>
      <c r="E82" s="477"/>
      <c r="F82" s="374"/>
      <c r="G82" s="366"/>
      <c r="H82" s="479"/>
      <c r="I82" s="481"/>
      <c r="J82" s="380"/>
      <c r="K82" s="273" t="s">
        <v>339</v>
      </c>
      <c r="L82" s="445"/>
      <c r="M82" s="173">
        <v>6.6666666666666666E-2</v>
      </c>
      <c r="N82" s="281">
        <f>+M82*I79</f>
        <v>3000000</v>
      </c>
      <c r="O82" s="248">
        <f t="shared" si="5"/>
        <v>8.8464303501392845E-3</v>
      </c>
      <c r="Q82" s="242"/>
      <c r="R82" s="242"/>
      <c r="S82" s="242"/>
    </row>
    <row r="83" spans="1:19" ht="42" customHeight="1">
      <c r="A83" s="471"/>
      <c r="B83" s="474"/>
      <c r="C83" s="431"/>
      <c r="D83" s="366"/>
      <c r="E83" s="487" t="s">
        <v>352</v>
      </c>
      <c r="F83" s="480">
        <f>SUM(I83)</f>
        <v>35000000.000000007</v>
      </c>
      <c r="G83" s="379">
        <f>F83/F$122</f>
        <v>0.10320835408495833</v>
      </c>
      <c r="H83" s="478" t="s">
        <v>398</v>
      </c>
      <c r="I83" s="373">
        <f>'PF_POR FESR'!I52</f>
        <v>35000000.000000007</v>
      </c>
      <c r="J83" s="365">
        <f>+I83/I$122</f>
        <v>0.10320835408495833</v>
      </c>
      <c r="K83" s="272" t="s">
        <v>414</v>
      </c>
      <c r="L83" s="365">
        <f>SUM(M83:M85)</f>
        <v>0.99999999999999978</v>
      </c>
      <c r="M83" s="173">
        <v>0.28571428571428564</v>
      </c>
      <c r="N83" s="281">
        <f>+M83*I83</f>
        <v>10000000</v>
      </c>
      <c r="O83" s="248">
        <f t="shared" si="5"/>
        <v>2.9488101167130947E-2</v>
      </c>
      <c r="P83" s="242"/>
      <c r="Q83" s="242"/>
      <c r="R83" s="242"/>
      <c r="S83" s="242"/>
    </row>
    <row r="84" spans="1:19" ht="42" customHeight="1">
      <c r="A84" s="471"/>
      <c r="B84" s="474"/>
      <c r="C84" s="431"/>
      <c r="D84" s="366"/>
      <c r="E84" s="488"/>
      <c r="F84" s="481"/>
      <c r="G84" s="380"/>
      <c r="H84" s="479"/>
      <c r="I84" s="374"/>
      <c r="J84" s="366"/>
      <c r="K84" s="272" t="s">
        <v>327</v>
      </c>
      <c r="L84" s="366"/>
      <c r="M84" s="173">
        <v>0.42857142857142849</v>
      </c>
      <c r="N84" s="281">
        <f>+M84*I83</f>
        <v>15000000</v>
      </c>
      <c r="O84" s="248">
        <f t="shared" si="5"/>
        <v>4.4232151750696419E-2</v>
      </c>
      <c r="P84" s="242"/>
      <c r="Q84" s="242"/>
      <c r="R84" s="242"/>
      <c r="S84" s="242"/>
    </row>
    <row r="85" spans="1:19" ht="42" customHeight="1">
      <c r="A85" s="471"/>
      <c r="B85" s="474"/>
      <c r="C85" s="431"/>
      <c r="D85" s="366"/>
      <c r="E85" s="489"/>
      <c r="F85" s="490"/>
      <c r="G85" s="381"/>
      <c r="H85" s="491"/>
      <c r="I85" s="375"/>
      <c r="J85" s="367"/>
      <c r="K85" s="272" t="s">
        <v>328</v>
      </c>
      <c r="L85" s="367"/>
      <c r="M85" s="173">
        <v>0.28571428571428564</v>
      </c>
      <c r="N85" s="281">
        <f>+M85*I83</f>
        <v>10000000</v>
      </c>
      <c r="O85" s="248">
        <f t="shared" si="5"/>
        <v>2.9488101167130947E-2</v>
      </c>
      <c r="P85" s="242"/>
      <c r="Q85" s="242"/>
      <c r="R85" s="242"/>
      <c r="S85" s="242"/>
    </row>
    <row r="86" spans="1:19" ht="42" customHeight="1">
      <c r="A86" s="471"/>
      <c r="B86" s="474"/>
      <c r="C86" s="431"/>
      <c r="D86" s="366"/>
      <c r="E86" s="387" t="s">
        <v>353</v>
      </c>
      <c r="F86" s="483">
        <f>SUM(I86)</f>
        <v>17750000.000000004</v>
      </c>
      <c r="G86" s="382">
        <f>F86/F$122</f>
        <v>5.2341379571657444E-2</v>
      </c>
      <c r="H86" s="485" t="s">
        <v>399</v>
      </c>
      <c r="I86" s="373">
        <f>'PF_POR FESR'!I56</f>
        <v>17750000.000000004</v>
      </c>
      <c r="J86" s="365">
        <f>+I86/I$122</f>
        <v>5.2341379571657444E-2</v>
      </c>
      <c r="K86" s="272" t="s">
        <v>329</v>
      </c>
      <c r="L86" s="365">
        <f>SUM(M86:M87)</f>
        <v>0.99999999999999978</v>
      </c>
      <c r="M86" s="173">
        <v>0.7183098591549294</v>
      </c>
      <c r="N86" s="281">
        <f>+M86*I86</f>
        <v>12750000</v>
      </c>
      <c r="O86" s="248">
        <f t="shared" si="5"/>
        <v>3.7597328988091955E-2</v>
      </c>
      <c r="P86" s="242"/>
      <c r="Q86" s="242"/>
      <c r="R86" s="242"/>
      <c r="S86" s="242"/>
    </row>
    <row r="87" spans="1:19" ht="42" customHeight="1">
      <c r="A87" s="471"/>
      <c r="B87" s="474"/>
      <c r="C87" s="431"/>
      <c r="D87" s="366"/>
      <c r="E87" s="482"/>
      <c r="F87" s="484"/>
      <c r="G87" s="384"/>
      <c r="H87" s="486"/>
      <c r="I87" s="375"/>
      <c r="J87" s="367"/>
      <c r="K87" s="272" t="s">
        <v>330</v>
      </c>
      <c r="L87" s="367"/>
      <c r="M87" s="173">
        <v>0.28169014084507038</v>
      </c>
      <c r="N87" s="281">
        <f>+M87*I86</f>
        <v>5000000</v>
      </c>
      <c r="O87" s="248">
        <f t="shared" si="5"/>
        <v>1.4744050583565474E-2</v>
      </c>
      <c r="P87" s="242"/>
      <c r="Q87" s="242"/>
      <c r="R87" s="242"/>
      <c r="S87" s="242"/>
    </row>
    <row r="88" spans="1:19" ht="42" customHeight="1">
      <c r="A88" s="471"/>
      <c r="B88" s="474"/>
      <c r="C88" s="431"/>
      <c r="D88" s="366"/>
      <c r="E88" s="492" t="s">
        <v>354</v>
      </c>
      <c r="F88" s="483">
        <f>SUM(I88)</f>
        <v>25000000.000000004</v>
      </c>
      <c r="G88" s="382">
        <f>F88/F$122</f>
        <v>7.3720252917827384E-2</v>
      </c>
      <c r="H88" s="496" t="s">
        <v>400</v>
      </c>
      <c r="I88" s="373">
        <f>'PF_POR FESR'!I57</f>
        <v>25000000.000000004</v>
      </c>
      <c r="J88" s="365">
        <f>+I88/I$122</f>
        <v>7.3720252917827384E-2</v>
      </c>
      <c r="K88" s="272" t="s">
        <v>331</v>
      </c>
      <c r="L88" s="365">
        <f>SUM(M88:M90)</f>
        <v>1</v>
      </c>
      <c r="M88" s="173">
        <v>0.39999999999999997</v>
      </c>
      <c r="N88" s="281">
        <f>+M88*I88</f>
        <v>10000000</v>
      </c>
      <c r="O88" s="248">
        <f t="shared" si="5"/>
        <v>2.9488101167130947E-2</v>
      </c>
      <c r="P88" s="242"/>
      <c r="Q88" s="242"/>
      <c r="R88" s="242"/>
      <c r="S88" s="242"/>
    </row>
    <row r="89" spans="1:19" ht="42" customHeight="1">
      <c r="A89" s="471"/>
      <c r="B89" s="474"/>
      <c r="C89" s="431"/>
      <c r="D89" s="366"/>
      <c r="E89" s="493"/>
      <c r="F89" s="495"/>
      <c r="G89" s="383"/>
      <c r="H89" s="391"/>
      <c r="I89" s="374"/>
      <c r="J89" s="366"/>
      <c r="K89" s="272" t="s">
        <v>332</v>
      </c>
      <c r="L89" s="366"/>
      <c r="M89" s="173">
        <v>0.19999999999999998</v>
      </c>
      <c r="N89" s="281">
        <f>+M89*I88</f>
        <v>5000000</v>
      </c>
      <c r="O89" s="248">
        <f t="shared" si="5"/>
        <v>1.4744050583565474E-2</v>
      </c>
      <c r="P89" s="242"/>
      <c r="Q89" s="242"/>
      <c r="R89" s="242"/>
      <c r="S89" s="242"/>
    </row>
    <row r="90" spans="1:19" ht="42" customHeight="1">
      <c r="A90" s="472"/>
      <c r="B90" s="475"/>
      <c r="C90" s="432"/>
      <c r="D90" s="367"/>
      <c r="E90" s="494"/>
      <c r="F90" s="484"/>
      <c r="G90" s="384"/>
      <c r="H90" s="497"/>
      <c r="I90" s="375"/>
      <c r="J90" s="367"/>
      <c r="K90" s="272" t="s">
        <v>333</v>
      </c>
      <c r="L90" s="367"/>
      <c r="M90" s="173">
        <v>0.39999999999999997</v>
      </c>
      <c r="N90" s="281">
        <f>+M90*I88</f>
        <v>10000000</v>
      </c>
      <c r="O90" s="248">
        <f t="shared" si="5"/>
        <v>2.9488101167130947E-2</v>
      </c>
      <c r="P90" s="242"/>
      <c r="Q90" s="242"/>
      <c r="R90" s="242"/>
      <c r="S90" s="242"/>
    </row>
    <row r="91" spans="1:19" ht="42">
      <c r="A91" s="498" t="s">
        <v>407</v>
      </c>
      <c r="B91" s="501">
        <f>SUM(F91:F103)</f>
        <v>67825000.000000015</v>
      </c>
      <c r="C91" s="452">
        <f>B91/B122</f>
        <v>0.20000304616606568</v>
      </c>
      <c r="D91" s="382">
        <f>B91/B$123</f>
        <v>2.8510395311310582E-2</v>
      </c>
      <c r="E91" s="504" t="s">
        <v>340</v>
      </c>
      <c r="F91" s="507">
        <f>SUM(I91:I99)</f>
        <v>47825000.000000007</v>
      </c>
      <c r="G91" s="510">
        <f>+F91/F122</f>
        <v>0.14102684383180378</v>
      </c>
      <c r="H91" s="513" t="s">
        <v>341</v>
      </c>
      <c r="I91" s="516">
        <f>'PF_POR FESR'!I59</f>
        <v>20000000.000000004</v>
      </c>
      <c r="J91" s="510">
        <f>+I91/I$122</f>
        <v>5.8976202334261901E-2</v>
      </c>
      <c r="K91" s="275" t="s">
        <v>356</v>
      </c>
      <c r="L91" s="510">
        <f>SUM(M91:M93)</f>
        <v>0.99999999999999978</v>
      </c>
      <c r="M91" s="173">
        <v>0.49999999999999989</v>
      </c>
      <c r="N91" s="281">
        <f>M91*I91</f>
        <v>10000000</v>
      </c>
      <c r="O91" s="248">
        <f t="shared" si="5"/>
        <v>2.9488101167130947E-2</v>
      </c>
      <c r="P91" s="242"/>
      <c r="Q91" s="242"/>
      <c r="R91" s="242"/>
      <c r="S91" s="242"/>
    </row>
    <row r="92" spans="1:19" ht="42">
      <c r="A92" s="499"/>
      <c r="B92" s="502"/>
      <c r="C92" s="453"/>
      <c r="D92" s="383"/>
      <c r="E92" s="505"/>
      <c r="F92" s="508"/>
      <c r="G92" s="511"/>
      <c r="H92" s="514"/>
      <c r="I92" s="517"/>
      <c r="J92" s="511"/>
      <c r="K92" s="276" t="s">
        <v>357</v>
      </c>
      <c r="L92" s="511"/>
      <c r="M92" s="173">
        <v>0.29999999999999993</v>
      </c>
      <c r="N92" s="281">
        <f>M92*I91</f>
        <v>6000000</v>
      </c>
      <c r="O92" s="248">
        <f t="shared" si="5"/>
        <v>1.7692860700278569E-2</v>
      </c>
      <c r="P92" s="242"/>
      <c r="Q92" s="242"/>
      <c r="R92" s="242"/>
      <c r="S92" s="242"/>
    </row>
    <row r="93" spans="1:19" ht="28">
      <c r="A93" s="499"/>
      <c r="B93" s="502"/>
      <c r="C93" s="453"/>
      <c r="D93" s="383"/>
      <c r="E93" s="505"/>
      <c r="F93" s="508"/>
      <c r="G93" s="511"/>
      <c r="H93" s="515"/>
      <c r="I93" s="518"/>
      <c r="J93" s="512"/>
      <c r="K93" s="276" t="s">
        <v>358</v>
      </c>
      <c r="L93" s="512"/>
      <c r="M93" s="173">
        <v>0.19999999999999996</v>
      </c>
      <c r="N93" s="281">
        <f>M93*I91</f>
        <v>4000000</v>
      </c>
      <c r="O93" s="248">
        <f t="shared" si="5"/>
        <v>1.1795240466852378E-2</v>
      </c>
      <c r="P93" s="242"/>
      <c r="Q93" s="242"/>
      <c r="R93" s="242"/>
      <c r="S93" s="242"/>
    </row>
    <row r="94" spans="1:19" ht="56">
      <c r="A94" s="499"/>
      <c r="B94" s="502"/>
      <c r="C94" s="453"/>
      <c r="D94" s="383"/>
      <c r="E94" s="505"/>
      <c r="F94" s="508"/>
      <c r="G94" s="511"/>
      <c r="H94" s="513" t="s">
        <v>342</v>
      </c>
      <c r="I94" s="516">
        <f>'PF_POR FESR'!I60</f>
        <v>20000000.000000004</v>
      </c>
      <c r="J94" s="510">
        <f>+I94/I$122</f>
        <v>5.8976202334261901E-2</v>
      </c>
      <c r="K94" s="277" t="s">
        <v>359</v>
      </c>
      <c r="L94" s="510">
        <f>SUM(M94:M96)</f>
        <v>0.99999999999999978</v>
      </c>
      <c r="M94" s="173">
        <v>0.39999999999999991</v>
      </c>
      <c r="N94" s="281">
        <f>M94*I$94</f>
        <v>8000000</v>
      </c>
      <c r="O94" s="248">
        <f t="shared" si="5"/>
        <v>2.3590480933704756E-2</v>
      </c>
      <c r="P94" s="242"/>
      <c r="Q94" s="242"/>
      <c r="R94" s="242"/>
      <c r="S94" s="242"/>
    </row>
    <row r="95" spans="1:19" ht="56">
      <c r="A95" s="499"/>
      <c r="B95" s="502"/>
      <c r="C95" s="453"/>
      <c r="D95" s="383"/>
      <c r="E95" s="505"/>
      <c r="F95" s="508"/>
      <c r="G95" s="511"/>
      <c r="H95" s="514"/>
      <c r="I95" s="517"/>
      <c r="J95" s="511"/>
      <c r="K95" s="278" t="s">
        <v>360</v>
      </c>
      <c r="L95" s="511"/>
      <c r="M95" s="173">
        <v>0.39999999999999991</v>
      </c>
      <c r="N95" s="281">
        <f t="shared" ref="N95:N96" si="6">M95*I$94</f>
        <v>8000000</v>
      </c>
      <c r="O95" s="248">
        <f t="shared" si="5"/>
        <v>2.3590480933704756E-2</v>
      </c>
      <c r="P95" s="242"/>
      <c r="Q95" s="242"/>
      <c r="R95" s="242"/>
      <c r="S95" s="242"/>
    </row>
    <row r="96" spans="1:19" ht="42">
      <c r="A96" s="499"/>
      <c r="B96" s="502"/>
      <c r="C96" s="453"/>
      <c r="D96" s="383"/>
      <c r="E96" s="505"/>
      <c r="F96" s="508"/>
      <c r="G96" s="511"/>
      <c r="H96" s="515"/>
      <c r="I96" s="518"/>
      <c r="J96" s="512"/>
      <c r="K96" s="278" t="s">
        <v>361</v>
      </c>
      <c r="L96" s="512"/>
      <c r="M96" s="173">
        <v>0.19999999999999996</v>
      </c>
      <c r="N96" s="281">
        <f t="shared" si="6"/>
        <v>4000000</v>
      </c>
      <c r="O96" s="248">
        <f t="shared" si="5"/>
        <v>1.1795240466852378E-2</v>
      </c>
      <c r="P96" s="242"/>
      <c r="Q96" s="242"/>
      <c r="R96" s="242"/>
      <c r="S96" s="242"/>
    </row>
    <row r="97" spans="1:19" ht="28">
      <c r="A97" s="499"/>
      <c r="B97" s="502"/>
      <c r="C97" s="453"/>
      <c r="D97" s="383"/>
      <c r="E97" s="505"/>
      <c r="F97" s="508"/>
      <c r="G97" s="511"/>
      <c r="H97" s="513" t="s">
        <v>343</v>
      </c>
      <c r="I97" s="507">
        <f>'PF_POR FESR'!I65</f>
        <v>7825000</v>
      </c>
      <c r="J97" s="510">
        <f>+I97/I$122</f>
        <v>2.3074439163279965E-2</v>
      </c>
      <c r="K97" s="279" t="s">
        <v>362</v>
      </c>
      <c r="L97" s="510">
        <f>SUM(M97:M99)</f>
        <v>0.99999999999999989</v>
      </c>
      <c r="M97" s="173">
        <v>0.12987012987012986</v>
      </c>
      <c r="N97" s="281">
        <f>M97*I$97</f>
        <v>1016233.7662337661</v>
      </c>
      <c r="O97" s="248">
        <f t="shared" si="5"/>
        <v>2.9966804108155797E-3</v>
      </c>
      <c r="P97" s="242"/>
      <c r="Q97" s="242"/>
      <c r="R97" s="242"/>
      <c r="S97" s="242"/>
    </row>
    <row r="98" spans="1:19" ht="28">
      <c r="A98" s="499"/>
      <c r="B98" s="502"/>
      <c r="C98" s="453"/>
      <c r="D98" s="383"/>
      <c r="E98" s="505"/>
      <c r="F98" s="508"/>
      <c r="G98" s="511"/>
      <c r="H98" s="514"/>
      <c r="I98" s="528"/>
      <c r="J98" s="511"/>
      <c r="K98" s="279" t="s">
        <v>363</v>
      </c>
      <c r="L98" s="511"/>
      <c r="M98" s="173">
        <v>0.38961038961038957</v>
      </c>
      <c r="N98" s="281">
        <f t="shared" ref="N98:N99" si="7">M98*I$97</f>
        <v>3048701.2987012984</v>
      </c>
      <c r="O98" s="248">
        <f t="shared" si="5"/>
        <v>8.9900412324467396E-3</v>
      </c>
      <c r="P98" s="242"/>
      <c r="Q98" s="242"/>
      <c r="R98" s="242"/>
      <c r="S98" s="242"/>
    </row>
    <row r="99" spans="1:19">
      <c r="A99" s="499"/>
      <c r="B99" s="502"/>
      <c r="C99" s="453"/>
      <c r="D99" s="383"/>
      <c r="E99" s="506"/>
      <c r="F99" s="509"/>
      <c r="G99" s="512"/>
      <c r="H99" s="515"/>
      <c r="I99" s="529"/>
      <c r="J99" s="512"/>
      <c r="K99" s="279" t="s">
        <v>364</v>
      </c>
      <c r="L99" s="512"/>
      <c r="M99" s="173">
        <v>0.48051948051948046</v>
      </c>
      <c r="N99" s="281">
        <f t="shared" si="7"/>
        <v>3760064.9350649347</v>
      </c>
      <c r="O99" s="248">
        <f t="shared" si="5"/>
        <v>1.1087717520017644E-2</v>
      </c>
      <c r="P99" s="242"/>
      <c r="Q99" s="242"/>
      <c r="R99" s="242"/>
      <c r="S99" s="242"/>
    </row>
    <row r="100" spans="1:19" ht="22" customHeight="1">
      <c r="A100" s="499"/>
      <c r="B100" s="502"/>
      <c r="C100" s="453"/>
      <c r="D100" s="383"/>
      <c r="E100" s="519" t="s">
        <v>344</v>
      </c>
      <c r="F100" s="522">
        <f>SUM(I100:I103)</f>
        <v>20000000.000000004</v>
      </c>
      <c r="G100" s="524">
        <f>+F100/F122</f>
        <v>5.8976202334261901E-2</v>
      </c>
      <c r="H100" s="526" t="s">
        <v>345</v>
      </c>
      <c r="I100" s="527">
        <f>'PF_POR FESR'!I61</f>
        <v>10000000.000000002</v>
      </c>
      <c r="J100" s="530">
        <f>I100/I122</f>
        <v>2.9488101167130951E-2</v>
      </c>
      <c r="K100" s="278" t="s">
        <v>346</v>
      </c>
      <c r="L100" s="530">
        <f>SUM(M100:M102)</f>
        <v>0.99999999999999978</v>
      </c>
      <c r="M100" s="173">
        <v>0.49999999999999989</v>
      </c>
      <c r="N100" s="281">
        <f>M100*I$100</f>
        <v>5000000</v>
      </c>
      <c r="O100" s="248">
        <f t="shared" si="5"/>
        <v>1.4744050583565474E-2</v>
      </c>
      <c r="P100" s="242"/>
      <c r="Q100" s="242"/>
      <c r="R100" s="242"/>
      <c r="S100" s="242"/>
    </row>
    <row r="101" spans="1:19" ht="42">
      <c r="A101" s="499"/>
      <c r="B101" s="502"/>
      <c r="C101" s="453"/>
      <c r="D101" s="383"/>
      <c r="E101" s="520"/>
      <c r="F101" s="523"/>
      <c r="G101" s="525"/>
      <c r="H101" s="526"/>
      <c r="I101" s="527"/>
      <c r="J101" s="530"/>
      <c r="K101" s="278" t="s">
        <v>347</v>
      </c>
      <c r="L101" s="530"/>
      <c r="M101" s="173">
        <v>0.24999999999999994</v>
      </c>
      <c r="N101" s="281">
        <f t="shared" ref="N101:N102" si="8">M101*I$100</f>
        <v>2500000</v>
      </c>
      <c r="O101" s="248">
        <f t="shared" si="5"/>
        <v>7.3720252917827368E-3</v>
      </c>
      <c r="P101" s="242"/>
      <c r="Q101" s="242"/>
      <c r="R101" s="242"/>
      <c r="S101" s="242"/>
    </row>
    <row r="102" spans="1:19" ht="56">
      <c r="A102" s="499"/>
      <c r="B102" s="502"/>
      <c r="C102" s="453"/>
      <c r="D102" s="383"/>
      <c r="E102" s="520"/>
      <c r="F102" s="523"/>
      <c r="G102" s="525"/>
      <c r="H102" s="526"/>
      <c r="I102" s="527"/>
      <c r="J102" s="530"/>
      <c r="K102" s="277" t="s">
        <v>348</v>
      </c>
      <c r="L102" s="530"/>
      <c r="M102" s="173">
        <v>0.24999999999999994</v>
      </c>
      <c r="N102" s="281">
        <f t="shared" si="8"/>
        <v>2500000</v>
      </c>
      <c r="O102" s="248">
        <f t="shared" si="5"/>
        <v>7.3720252917827368E-3</v>
      </c>
      <c r="P102" s="242"/>
      <c r="Q102" s="242"/>
      <c r="R102" s="242"/>
      <c r="S102" s="242"/>
    </row>
    <row r="103" spans="1:19" ht="42">
      <c r="A103" s="500"/>
      <c r="B103" s="503"/>
      <c r="C103" s="454"/>
      <c r="D103" s="384"/>
      <c r="E103" s="521"/>
      <c r="F103" s="523"/>
      <c r="G103" s="525"/>
      <c r="H103" s="290" t="s">
        <v>312</v>
      </c>
      <c r="I103" s="320">
        <f>'PF_POR FESR'!I62</f>
        <v>10000000.000000002</v>
      </c>
      <c r="J103" s="321">
        <f>I103/I122</f>
        <v>2.9488101167130951E-2</v>
      </c>
      <c r="K103" s="276" t="s">
        <v>355</v>
      </c>
      <c r="L103" s="321">
        <f>SUM(M103)</f>
        <v>0.99999999999999978</v>
      </c>
      <c r="M103" s="173">
        <v>0.99999999999999978</v>
      </c>
      <c r="N103" s="281">
        <f>M103*I103</f>
        <v>10000000</v>
      </c>
      <c r="O103" s="248">
        <f t="shared" si="5"/>
        <v>2.9488101167130947E-2</v>
      </c>
      <c r="P103" s="242"/>
      <c r="Q103" s="242"/>
      <c r="R103" s="242"/>
      <c r="S103" s="242"/>
    </row>
    <row r="104" spans="1:19" ht="14" customHeight="1">
      <c r="A104" s="531" t="s">
        <v>393</v>
      </c>
      <c r="B104" s="534">
        <f>SUM(F104:F113)</f>
        <v>86150000</v>
      </c>
      <c r="C104" s="537">
        <f>B104/B122</f>
        <v>0.25403999155483309</v>
      </c>
      <c r="D104" s="540">
        <f>B104/B$123</f>
        <v>3.6213351361141261E-2</v>
      </c>
      <c r="E104" s="543" t="s">
        <v>365</v>
      </c>
      <c r="F104" s="546">
        <f>SUM(I104)</f>
        <v>30550000</v>
      </c>
      <c r="G104" s="382">
        <f>F104/F$122</f>
        <v>9.0086149065585042E-2</v>
      </c>
      <c r="H104" s="549" t="s">
        <v>378</v>
      </c>
      <c r="I104" s="527">
        <f>'PF_POR FESR'!I67</f>
        <v>30550000</v>
      </c>
      <c r="J104" s="530">
        <f>I104/I122</f>
        <v>9.0086149065585042E-2</v>
      </c>
      <c r="K104" s="325" t="s">
        <v>366</v>
      </c>
      <c r="L104" s="552">
        <f>SUM(M104:M106)</f>
        <v>1</v>
      </c>
      <c r="M104" s="173">
        <v>0.2</v>
      </c>
      <c r="N104" s="324">
        <f>+M104*I$104</f>
        <v>6110000</v>
      </c>
      <c r="O104" s="248">
        <f t="shared" si="5"/>
        <v>1.8017229813117007E-2</v>
      </c>
      <c r="P104" s="242"/>
      <c r="Q104" s="242"/>
      <c r="R104" s="242"/>
      <c r="S104" s="242"/>
    </row>
    <row r="105" spans="1:19">
      <c r="A105" s="532"/>
      <c r="B105" s="535"/>
      <c r="C105" s="538"/>
      <c r="D105" s="541"/>
      <c r="E105" s="544"/>
      <c r="F105" s="547"/>
      <c r="G105" s="383"/>
      <c r="H105" s="550"/>
      <c r="I105" s="527"/>
      <c r="J105" s="530"/>
      <c r="K105" s="325" t="s">
        <v>367</v>
      </c>
      <c r="L105" s="553"/>
      <c r="M105" s="173">
        <v>0.4</v>
      </c>
      <c r="N105" s="324">
        <f t="shared" ref="N105:N106" si="9">+M105*I$104</f>
        <v>12220000</v>
      </c>
      <c r="O105" s="248">
        <f t="shared" si="5"/>
        <v>3.6034459626234014E-2</v>
      </c>
      <c r="P105" s="242"/>
      <c r="Q105" s="242"/>
      <c r="R105" s="242"/>
      <c r="S105" s="242"/>
    </row>
    <row r="106" spans="1:19" ht="28">
      <c r="A106" s="532"/>
      <c r="B106" s="535"/>
      <c r="C106" s="538"/>
      <c r="D106" s="541"/>
      <c r="E106" s="545"/>
      <c r="F106" s="548"/>
      <c r="G106" s="384"/>
      <c r="H106" s="551"/>
      <c r="I106" s="527"/>
      <c r="J106" s="530"/>
      <c r="K106" s="325" t="s">
        <v>368</v>
      </c>
      <c r="L106" s="553"/>
      <c r="M106" s="173">
        <v>0.4</v>
      </c>
      <c r="N106" s="324">
        <f t="shared" si="9"/>
        <v>12220000</v>
      </c>
      <c r="O106" s="248">
        <f t="shared" si="5"/>
        <v>3.6034459626234014E-2</v>
      </c>
      <c r="P106" s="242"/>
      <c r="Q106" s="242"/>
      <c r="R106" s="242"/>
      <c r="S106" s="242"/>
    </row>
    <row r="107" spans="1:19" ht="42">
      <c r="A107" s="532"/>
      <c r="B107" s="535"/>
      <c r="C107" s="538"/>
      <c r="D107" s="541"/>
      <c r="E107" s="543" t="s">
        <v>369</v>
      </c>
      <c r="F107" s="554">
        <f>SUM(I107)</f>
        <v>35600000</v>
      </c>
      <c r="G107" s="540">
        <f>+F107/F122</f>
        <v>0.10497764015498617</v>
      </c>
      <c r="H107" s="549" t="s">
        <v>379</v>
      </c>
      <c r="I107" s="555">
        <f>'PF_POR FESR'!I68</f>
        <v>35600000</v>
      </c>
      <c r="J107" s="537">
        <f>I107/I122</f>
        <v>0.10497764015498617</v>
      </c>
      <c r="K107" s="325" t="s">
        <v>370</v>
      </c>
      <c r="L107" s="552">
        <f>SUM(M107:M110)</f>
        <v>1</v>
      </c>
      <c r="M107" s="173">
        <v>0.25</v>
      </c>
      <c r="N107" s="324">
        <f>M107*I$107</f>
        <v>8900000</v>
      </c>
      <c r="O107" s="248">
        <f t="shared" si="5"/>
        <v>2.6244410038746543E-2</v>
      </c>
      <c r="P107" s="242"/>
      <c r="Q107" s="242"/>
      <c r="R107" s="242"/>
      <c r="S107" s="242"/>
    </row>
    <row r="108" spans="1:19" ht="28">
      <c r="A108" s="532"/>
      <c r="B108" s="535"/>
      <c r="C108" s="538"/>
      <c r="D108" s="541"/>
      <c r="E108" s="544"/>
      <c r="F108" s="547"/>
      <c r="G108" s="541"/>
      <c r="H108" s="550"/>
      <c r="I108" s="556"/>
      <c r="J108" s="538"/>
      <c r="K108" s="325" t="s">
        <v>371</v>
      </c>
      <c r="L108" s="553"/>
      <c r="M108" s="173">
        <v>0.25</v>
      </c>
      <c r="N108" s="324">
        <f t="shared" ref="N108:N110" si="10">M108*I$107</f>
        <v>8900000</v>
      </c>
      <c r="O108" s="248">
        <f t="shared" si="5"/>
        <v>2.6244410038746543E-2</v>
      </c>
      <c r="P108" s="242"/>
      <c r="Q108" s="242"/>
      <c r="R108" s="242"/>
      <c r="S108" s="242"/>
    </row>
    <row r="109" spans="1:19" ht="42">
      <c r="A109" s="532"/>
      <c r="B109" s="535"/>
      <c r="C109" s="538"/>
      <c r="D109" s="541"/>
      <c r="E109" s="544"/>
      <c r="F109" s="547"/>
      <c r="G109" s="541"/>
      <c r="H109" s="550"/>
      <c r="I109" s="556"/>
      <c r="J109" s="538"/>
      <c r="K109" s="325" t="s">
        <v>372</v>
      </c>
      <c r="L109" s="553"/>
      <c r="M109" s="173">
        <v>0.25</v>
      </c>
      <c r="N109" s="324">
        <f t="shared" si="10"/>
        <v>8900000</v>
      </c>
      <c r="O109" s="248">
        <f t="shared" si="5"/>
        <v>2.6244410038746543E-2</v>
      </c>
      <c r="P109" s="242"/>
      <c r="Q109" s="242"/>
      <c r="R109" s="242"/>
      <c r="S109" s="242"/>
    </row>
    <row r="110" spans="1:19" ht="56">
      <c r="A110" s="532"/>
      <c r="B110" s="535"/>
      <c r="C110" s="538"/>
      <c r="D110" s="541"/>
      <c r="E110" s="545"/>
      <c r="F110" s="548"/>
      <c r="G110" s="542"/>
      <c r="H110" s="551"/>
      <c r="I110" s="556"/>
      <c r="J110" s="538"/>
      <c r="K110" s="325" t="s">
        <v>373</v>
      </c>
      <c r="L110" s="553"/>
      <c r="M110" s="173">
        <v>0.25</v>
      </c>
      <c r="N110" s="324">
        <f t="shared" si="10"/>
        <v>8900000</v>
      </c>
      <c r="O110" s="248">
        <f t="shared" si="5"/>
        <v>2.6244410038746543E-2</v>
      </c>
      <c r="P110" s="242"/>
      <c r="Q110" s="242"/>
      <c r="R110" s="242"/>
      <c r="S110" s="242"/>
    </row>
    <row r="111" spans="1:19" ht="56">
      <c r="A111" s="532"/>
      <c r="B111" s="535"/>
      <c r="C111" s="538"/>
      <c r="D111" s="541"/>
      <c r="E111" s="543" t="s">
        <v>374</v>
      </c>
      <c r="F111" s="554">
        <f>SUM(I111)</f>
        <v>20000000</v>
      </c>
      <c r="G111" s="382">
        <f>F111/F$122</f>
        <v>5.8976202334261894E-2</v>
      </c>
      <c r="H111" s="549" t="s">
        <v>380</v>
      </c>
      <c r="I111" s="555">
        <f>'PF_POR FESR'!I69</f>
        <v>20000000</v>
      </c>
      <c r="J111" s="537">
        <f>+I111/I122</f>
        <v>5.8976202334261894E-2</v>
      </c>
      <c r="K111" s="325" t="s">
        <v>375</v>
      </c>
      <c r="L111" s="552">
        <f>SUM(M111:M113)</f>
        <v>1</v>
      </c>
      <c r="M111" s="173">
        <v>0.4</v>
      </c>
      <c r="N111" s="284">
        <f>M111*I$111</f>
        <v>8000000</v>
      </c>
      <c r="O111" s="248">
        <f t="shared" si="5"/>
        <v>2.3590480933704756E-2</v>
      </c>
      <c r="P111" s="242"/>
      <c r="Q111" s="242"/>
      <c r="R111" s="242"/>
      <c r="S111" s="242"/>
    </row>
    <row r="112" spans="1:19" ht="42">
      <c r="A112" s="532"/>
      <c r="B112" s="535"/>
      <c r="C112" s="538"/>
      <c r="D112" s="541"/>
      <c r="E112" s="544"/>
      <c r="F112" s="547"/>
      <c r="G112" s="383"/>
      <c r="H112" s="550"/>
      <c r="I112" s="556"/>
      <c r="J112" s="538"/>
      <c r="K112" s="325" t="s">
        <v>376</v>
      </c>
      <c r="L112" s="553"/>
      <c r="M112" s="173">
        <v>0.4</v>
      </c>
      <c r="N112" s="284">
        <f t="shared" ref="N112:N113" si="11">M112*I$111</f>
        <v>8000000</v>
      </c>
      <c r="O112" s="248">
        <f t="shared" si="5"/>
        <v>2.3590480933704756E-2</v>
      </c>
      <c r="P112" s="242"/>
      <c r="Q112" s="242"/>
      <c r="R112" s="242"/>
      <c r="S112" s="242"/>
    </row>
    <row r="113" spans="1:19" ht="56">
      <c r="A113" s="533"/>
      <c r="B113" s="536"/>
      <c r="C113" s="539"/>
      <c r="D113" s="542"/>
      <c r="E113" s="545"/>
      <c r="F113" s="548"/>
      <c r="G113" s="384"/>
      <c r="H113" s="551"/>
      <c r="I113" s="581"/>
      <c r="J113" s="539"/>
      <c r="K113" s="300" t="s">
        <v>377</v>
      </c>
      <c r="L113" s="557"/>
      <c r="M113" s="173">
        <v>0.2</v>
      </c>
      <c r="N113" s="284">
        <f t="shared" si="11"/>
        <v>4000000</v>
      </c>
      <c r="O113" s="248">
        <f t="shared" si="5"/>
        <v>1.1795240466852378E-2</v>
      </c>
      <c r="P113" s="242"/>
      <c r="Q113" s="242"/>
      <c r="R113" s="242"/>
      <c r="S113" s="242"/>
    </row>
    <row r="114" spans="1:19" ht="56">
      <c r="A114" s="558" t="s">
        <v>406</v>
      </c>
      <c r="B114" s="561">
        <f>SUM(F114)</f>
        <v>16394834.923333334</v>
      </c>
      <c r="C114" s="552">
        <f>+B114/B122</f>
        <v>4.834525508376649E-2</v>
      </c>
      <c r="D114" s="564">
        <f>B114/B$123</f>
        <v>6.8916067044292456E-3</v>
      </c>
      <c r="E114" s="567" t="s">
        <v>381</v>
      </c>
      <c r="F114" s="570">
        <f>SUM(I114:I121)</f>
        <v>16394834.923333334</v>
      </c>
      <c r="G114" s="571">
        <f>F114/F$122</f>
        <v>4.834525508376649E-2</v>
      </c>
      <c r="H114" s="572" t="s">
        <v>382</v>
      </c>
      <c r="I114" s="546">
        <f>'PF_POR FESR'!I73</f>
        <v>3799561.9733333332</v>
      </c>
      <c r="J114" s="575">
        <f>I114/I122</f>
        <v>1.1204186786043702E-2</v>
      </c>
      <c r="K114" s="285" t="s">
        <v>391</v>
      </c>
      <c r="L114" s="576">
        <f>SUM(M114:M116)</f>
        <v>1</v>
      </c>
      <c r="M114" s="173">
        <v>0.5</v>
      </c>
      <c r="N114" s="286">
        <f>+M114*I114</f>
        <v>1899780.9866666666</v>
      </c>
      <c r="O114" s="248">
        <f t="shared" si="5"/>
        <v>5.602093393021851E-3</v>
      </c>
      <c r="P114" s="242"/>
      <c r="Q114" s="242"/>
      <c r="R114" s="242"/>
      <c r="S114" s="242"/>
    </row>
    <row r="115" spans="1:19" ht="42">
      <c r="A115" s="559"/>
      <c r="B115" s="562"/>
      <c r="C115" s="553"/>
      <c r="D115" s="565"/>
      <c r="E115" s="568"/>
      <c r="F115" s="570"/>
      <c r="G115" s="571"/>
      <c r="H115" s="572"/>
      <c r="I115" s="573"/>
      <c r="J115" s="575"/>
      <c r="K115" s="285" t="s">
        <v>392</v>
      </c>
      <c r="L115" s="576"/>
      <c r="M115" s="173">
        <v>0.2</v>
      </c>
      <c r="N115" s="286">
        <f>+M115*I114</f>
        <v>759912.39466666663</v>
      </c>
      <c r="O115" s="248">
        <f t="shared" si="5"/>
        <v>2.2408373572087403E-3</v>
      </c>
      <c r="P115" s="242"/>
      <c r="Q115" s="242"/>
      <c r="R115" s="242"/>
      <c r="S115" s="242"/>
    </row>
    <row r="116" spans="1:19" ht="42">
      <c r="A116" s="559"/>
      <c r="B116" s="562"/>
      <c r="C116" s="553"/>
      <c r="D116" s="565"/>
      <c r="E116" s="568"/>
      <c r="F116" s="570"/>
      <c r="G116" s="571"/>
      <c r="H116" s="572"/>
      <c r="I116" s="574"/>
      <c r="J116" s="575"/>
      <c r="K116" s="285" t="s">
        <v>383</v>
      </c>
      <c r="L116" s="576"/>
      <c r="M116" s="173">
        <v>0.3</v>
      </c>
      <c r="N116" s="286">
        <f>+M116*I114</f>
        <v>1139868.5919999999</v>
      </c>
      <c r="O116" s="248">
        <f t="shared" si="5"/>
        <v>3.3612560358131107E-3</v>
      </c>
      <c r="P116" s="242"/>
      <c r="Q116" s="242"/>
      <c r="R116" s="242"/>
      <c r="S116" s="242"/>
    </row>
    <row r="117" spans="1:19" ht="28">
      <c r="A117" s="559"/>
      <c r="B117" s="562"/>
      <c r="C117" s="553"/>
      <c r="D117" s="565"/>
      <c r="E117" s="568"/>
      <c r="F117" s="570"/>
      <c r="G117" s="571"/>
      <c r="H117" s="577" t="s">
        <v>384</v>
      </c>
      <c r="I117" s="546">
        <f>'PF_POR FESR'!I74</f>
        <v>12595272.950000001</v>
      </c>
      <c r="J117" s="575">
        <f>+I117/I122</f>
        <v>3.714106829772279E-2</v>
      </c>
      <c r="K117" s="285" t="s">
        <v>385</v>
      </c>
      <c r="L117" s="578">
        <f>SUM(M117:M121)</f>
        <v>1</v>
      </c>
      <c r="M117" s="173">
        <v>0.35</v>
      </c>
      <c r="N117" s="286">
        <f>+M117*I117</f>
        <v>4408345.5324999997</v>
      </c>
      <c r="O117" s="248">
        <f t="shared" si="5"/>
        <v>1.2999373904202974E-2</v>
      </c>
      <c r="P117" s="242"/>
      <c r="Q117" s="242"/>
      <c r="R117" s="242"/>
      <c r="S117" s="242"/>
    </row>
    <row r="118" spans="1:19" ht="28">
      <c r="A118" s="559"/>
      <c r="B118" s="562"/>
      <c r="C118" s="553"/>
      <c r="D118" s="565"/>
      <c r="E118" s="568"/>
      <c r="F118" s="570"/>
      <c r="G118" s="571"/>
      <c r="H118" s="577"/>
      <c r="I118" s="573"/>
      <c r="J118" s="575"/>
      <c r="K118" s="285" t="s">
        <v>386</v>
      </c>
      <c r="L118" s="579"/>
      <c r="M118" s="173">
        <v>0.1</v>
      </c>
      <c r="N118" s="286">
        <f>+M118*I117</f>
        <v>1259527.2950000002</v>
      </c>
      <c r="O118" s="248">
        <f t="shared" si="5"/>
        <v>3.7141068297722787E-3</v>
      </c>
      <c r="P118" s="242"/>
      <c r="Q118" s="242"/>
      <c r="R118" s="242"/>
      <c r="S118" s="242"/>
    </row>
    <row r="119" spans="1:19" ht="28">
      <c r="A119" s="559"/>
      <c r="B119" s="562"/>
      <c r="C119" s="553"/>
      <c r="D119" s="565"/>
      <c r="E119" s="568"/>
      <c r="F119" s="570"/>
      <c r="G119" s="571"/>
      <c r="H119" s="577"/>
      <c r="I119" s="573"/>
      <c r="J119" s="575"/>
      <c r="K119" s="285" t="s">
        <v>387</v>
      </c>
      <c r="L119" s="579"/>
      <c r="M119" s="173">
        <v>0.05</v>
      </c>
      <c r="N119" s="286">
        <f>+M119*I117</f>
        <v>629763.64750000008</v>
      </c>
      <c r="O119" s="248">
        <f t="shared" si="5"/>
        <v>1.8570534148861393E-3</v>
      </c>
      <c r="P119" s="242"/>
      <c r="Q119" s="242"/>
      <c r="R119" s="242"/>
      <c r="S119" s="242"/>
    </row>
    <row r="120" spans="1:19">
      <c r="A120" s="559"/>
      <c r="B120" s="562"/>
      <c r="C120" s="553"/>
      <c r="D120" s="565"/>
      <c r="E120" s="568"/>
      <c r="F120" s="570"/>
      <c r="G120" s="571"/>
      <c r="H120" s="577"/>
      <c r="I120" s="573"/>
      <c r="J120" s="575"/>
      <c r="K120" s="285" t="s">
        <v>388</v>
      </c>
      <c r="L120" s="579"/>
      <c r="M120" s="173">
        <v>0.3</v>
      </c>
      <c r="N120" s="286">
        <f>+M120*I117</f>
        <v>3778581.8850000002</v>
      </c>
      <c r="O120" s="248">
        <f t="shared" si="5"/>
        <v>1.1142320489316836E-2</v>
      </c>
      <c r="P120" s="242"/>
      <c r="Q120" s="242"/>
      <c r="R120" s="242"/>
      <c r="S120" s="242"/>
    </row>
    <row r="121" spans="1:19" ht="56">
      <c r="A121" s="560"/>
      <c r="B121" s="563"/>
      <c r="C121" s="557"/>
      <c r="D121" s="566"/>
      <c r="E121" s="569"/>
      <c r="F121" s="570"/>
      <c r="G121" s="571"/>
      <c r="H121" s="577"/>
      <c r="I121" s="574"/>
      <c r="J121" s="575"/>
      <c r="K121" s="285" t="s">
        <v>389</v>
      </c>
      <c r="L121" s="580"/>
      <c r="M121" s="173">
        <v>0.2</v>
      </c>
      <c r="N121" s="286">
        <f>+M121*I117</f>
        <v>2519054.5900000003</v>
      </c>
      <c r="O121" s="248">
        <f t="shared" si="5"/>
        <v>7.4282136595445573E-3</v>
      </c>
      <c r="P121" s="242"/>
      <c r="Q121" s="242"/>
      <c r="R121" s="242"/>
      <c r="S121" s="242"/>
    </row>
    <row r="122" spans="1:19" s="251" customFormat="1">
      <c r="A122" s="262" t="s">
        <v>390</v>
      </c>
      <c r="B122" s="263">
        <f>SUM(B76:B121)</f>
        <v>339119834.92333335</v>
      </c>
      <c r="C122" s="264">
        <f>SUM(C76:C121)</f>
        <v>0.99999999999999989</v>
      </c>
      <c r="D122" s="287">
        <f>B122/B$123</f>
        <v>0.14254980540465345</v>
      </c>
      <c r="E122" s="265"/>
      <c r="F122" s="263">
        <f>SUM(F76:F121)</f>
        <v>339119834.92333335</v>
      </c>
      <c r="G122" s="264">
        <f>SUM(G76:G121)</f>
        <v>1</v>
      </c>
      <c r="H122" s="266"/>
      <c r="I122" s="263">
        <f>SUM(I76:I121)</f>
        <v>339119834.92333335</v>
      </c>
      <c r="J122" s="267">
        <f>SUM(J76:J121)</f>
        <v>1.0000000000000004</v>
      </c>
      <c r="K122" s="268"/>
      <c r="L122" s="269"/>
      <c r="M122" s="330">
        <f>SUM(M97:M99)</f>
        <v>0.99999999999999989</v>
      </c>
      <c r="N122" s="283">
        <f>SUM(N76:N121)</f>
        <v>339119834.92333335</v>
      </c>
      <c r="O122" s="270">
        <f>SUM(O76:O121)</f>
        <v>1.0000000000000002</v>
      </c>
      <c r="P122" s="242"/>
      <c r="Q122" s="242"/>
      <c r="R122" s="242"/>
      <c r="S122" s="242"/>
    </row>
    <row r="123" spans="1:19" s="251" customFormat="1" ht="14" customHeight="1">
      <c r="A123" s="262" t="s">
        <v>394</v>
      </c>
      <c r="B123" s="263">
        <f>SUM(B122,B75)</f>
        <v>2378956842.2116065</v>
      </c>
      <c r="C123" s="264"/>
      <c r="D123" s="287">
        <f>SUM(D122,D75)</f>
        <v>1</v>
      </c>
      <c r="E123" s="265"/>
      <c r="F123" s="263">
        <f>SUM(F122,F75)</f>
        <v>2378956842.211606</v>
      </c>
      <c r="G123" s="264"/>
      <c r="H123" s="266"/>
      <c r="I123" s="263">
        <f>SUM(I122,I75)</f>
        <v>2378956842.211606</v>
      </c>
      <c r="J123" s="267"/>
      <c r="K123" s="268"/>
      <c r="L123" s="269"/>
      <c r="M123" s="269"/>
      <c r="N123" s="283">
        <f>SUM(N122,N75)</f>
        <v>2378956842.2116065</v>
      </c>
      <c r="O123" s="270"/>
      <c r="P123" s="242"/>
      <c r="Q123" s="242"/>
      <c r="R123" s="242"/>
      <c r="S123" s="242"/>
    </row>
    <row r="124" spans="1:19">
      <c r="P124" s="242"/>
      <c r="Q124" s="242"/>
      <c r="R124" s="242"/>
      <c r="S124" s="242"/>
    </row>
    <row r="125" spans="1:19">
      <c r="P125" s="242"/>
      <c r="Q125" s="242"/>
      <c r="R125" s="242"/>
      <c r="S125" s="242"/>
    </row>
    <row r="126" spans="1:19">
      <c r="P126" s="242"/>
      <c r="Q126" s="242"/>
      <c r="R126" s="242"/>
      <c r="S126" s="242"/>
    </row>
    <row r="127" spans="1:19">
      <c r="P127" s="242"/>
      <c r="Q127" s="242"/>
      <c r="R127" s="242"/>
      <c r="S127" s="242"/>
    </row>
    <row r="128" spans="1:19">
      <c r="P128" s="242"/>
      <c r="Q128" s="242"/>
      <c r="R128" s="242"/>
      <c r="S128" s="242"/>
    </row>
    <row r="129" spans="16:19" s="233" customFormat="1">
      <c r="P129" s="242"/>
      <c r="Q129" s="242"/>
      <c r="R129" s="242"/>
      <c r="S129" s="242"/>
    </row>
    <row r="130" spans="16:19" s="233" customFormat="1">
      <c r="P130" s="242"/>
      <c r="Q130" s="242"/>
      <c r="R130" s="242"/>
      <c r="S130" s="242"/>
    </row>
    <row r="131" spans="16:19" s="233" customFormat="1">
      <c r="P131" s="242"/>
      <c r="Q131" s="242"/>
      <c r="R131" s="242"/>
      <c r="S131" s="242"/>
    </row>
    <row r="132" spans="16:19" s="233" customFormat="1">
      <c r="P132" s="242"/>
      <c r="Q132" s="242"/>
      <c r="R132" s="242"/>
      <c r="S132" s="242"/>
    </row>
    <row r="133" spans="16:19" s="233" customFormat="1">
      <c r="P133" s="242"/>
      <c r="Q133" s="242"/>
      <c r="R133" s="242"/>
      <c r="S133" s="242"/>
    </row>
    <row r="134" spans="16:19" s="233" customFormat="1">
      <c r="P134" s="242"/>
      <c r="Q134" s="242"/>
      <c r="R134" s="242"/>
      <c r="S134" s="242"/>
    </row>
    <row r="135" spans="16:19" s="233" customFormat="1">
      <c r="P135" s="242"/>
      <c r="Q135" s="242"/>
      <c r="R135" s="242"/>
      <c r="S135" s="242"/>
    </row>
    <row r="136" spans="16:19" s="233" customFormat="1">
      <c r="P136" s="242"/>
      <c r="Q136" s="242"/>
      <c r="R136" s="242"/>
      <c r="S136" s="242"/>
    </row>
    <row r="137" spans="16:19" s="233" customFormat="1">
      <c r="P137" s="242"/>
      <c r="Q137" s="242"/>
      <c r="R137" s="242"/>
      <c r="S137" s="242"/>
    </row>
    <row r="138" spans="16:19" s="233" customFormat="1">
      <c r="P138" s="242"/>
      <c r="Q138" s="242"/>
      <c r="R138" s="242"/>
      <c r="S138" s="242"/>
    </row>
    <row r="139" spans="16:19" s="233" customFormat="1">
      <c r="P139" s="242"/>
      <c r="Q139" s="242"/>
      <c r="R139" s="242"/>
      <c r="S139" s="242"/>
    </row>
    <row r="140" spans="16:19" s="233" customFormat="1">
      <c r="P140" s="242"/>
      <c r="Q140" s="242"/>
      <c r="R140" s="242"/>
      <c r="S140" s="242"/>
    </row>
    <row r="141" spans="16:19" s="233" customFormat="1">
      <c r="P141" s="242"/>
      <c r="Q141" s="242"/>
      <c r="R141" s="242"/>
      <c r="S141" s="242"/>
    </row>
    <row r="142" spans="16:19" s="233" customFormat="1">
      <c r="P142" s="242"/>
      <c r="Q142" s="242"/>
      <c r="R142" s="242"/>
      <c r="S142" s="242"/>
    </row>
    <row r="143" spans="16:19" s="233" customFormat="1">
      <c r="P143" s="242"/>
      <c r="Q143" s="242"/>
      <c r="R143" s="242"/>
      <c r="S143" s="242"/>
    </row>
    <row r="144" spans="16:19" s="233" customFormat="1">
      <c r="P144" s="242"/>
      <c r="Q144" s="242"/>
      <c r="R144" s="242"/>
      <c r="S144" s="242"/>
    </row>
    <row r="145" spans="16:19" s="233" customFormat="1">
      <c r="P145" s="242"/>
      <c r="Q145" s="242"/>
      <c r="R145" s="242"/>
      <c r="S145" s="242"/>
    </row>
    <row r="146" spans="16:19" s="233" customFormat="1">
      <c r="P146" s="242"/>
      <c r="Q146" s="242"/>
      <c r="R146" s="242"/>
      <c r="S146" s="242"/>
    </row>
    <row r="147" spans="16:19" s="233" customFormat="1">
      <c r="P147" s="242"/>
      <c r="Q147" s="242"/>
      <c r="R147" s="242"/>
      <c r="S147" s="242"/>
    </row>
    <row r="148" spans="16:19" s="233" customFormat="1">
      <c r="P148" s="242"/>
      <c r="Q148" s="242"/>
      <c r="R148" s="242"/>
      <c r="S148" s="242"/>
    </row>
    <row r="149" spans="16:19" s="233" customFormat="1">
      <c r="P149" s="242"/>
      <c r="Q149" s="242"/>
      <c r="R149" s="242"/>
      <c r="S149" s="242"/>
    </row>
    <row r="150" spans="16:19" s="233" customFormat="1">
      <c r="P150" s="242"/>
      <c r="Q150" s="242"/>
      <c r="R150" s="242"/>
      <c r="S150" s="242"/>
    </row>
    <row r="151" spans="16:19" s="233" customFormat="1">
      <c r="P151" s="242"/>
      <c r="Q151" s="242"/>
      <c r="R151" s="242"/>
      <c r="S151" s="242"/>
    </row>
    <row r="152" spans="16:19" s="233" customFormat="1">
      <c r="P152" s="242"/>
      <c r="Q152" s="242"/>
      <c r="R152" s="242"/>
      <c r="S152" s="242"/>
    </row>
    <row r="153" spans="16:19" s="233" customFormat="1">
      <c r="P153" s="242"/>
      <c r="Q153" s="242"/>
      <c r="R153" s="242"/>
      <c r="S153" s="242"/>
    </row>
    <row r="154" spans="16:19" s="233" customFormat="1">
      <c r="P154" s="242"/>
      <c r="Q154" s="242"/>
      <c r="R154" s="242"/>
      <c r="S154" s="242"/>
    </row>
    <row r="155" spans="16:19" s="233" customFormat="1">
      <c r="P155" s="242"/>
      <c r="Q155" s="242"/>
      <c r="R155" s="242"/>
      <c r="S155" s="242"/>
    </row>
    <row r="156" spans="16:19" s="233" customFormat="1">
      <c r="P156" s="242"/>
      <c r="Q156" s="242"/>
      <c r="R156" s="242"/>
      <c r="S156" s="242"/>
    </row>
    <row r="157" spans="16:19" s="233" customFormat="1">
      <c r="P157" s="242"/>
      <c r="Q157" s="242"/>
      <c r="R157" s="242"/>
      <c r="S157" s="242"/>
    </row>
    <row r="158" spans="16:19" s="233" customFormat="1">
      <c r="P158" s="242"/>
      <c r="Q158" s="242"/>
      <c r="R158" s="242"/>
      <c r="S158" s="242"/>
    </row>
    <row r="159" spans="16:19" s="233" customFormat="1">
      <c r="P159" s="242"/>
      <c r="Q159" s="242"/>
      <c r="R159" s="242"/>
      <c r="S159" s="242"/>
    </row>
    <row r="160" spans="16:19" s="233" customFormat="1">
      <c r="P160" s="242"/>
      <c r="Q160" s="242"/>
      <c r="R160" s="242"/>
      <c r="S160" s="242"/>
    </row>
    <row r="161" spans="16:19" s="233" customFormat="1">
      <c r="P161" s="242"/>
      <c r="Q161" s="242"/>
      <c r="R161" s="242"/>
      <c r="S161" s="242"/>
    </row>
    <row r="162" spans="16:19" s="233" customFormat="1">
      <c r="P162" s="242"/>
      <c r="Q162" s="242"/>
      <c r="R162" s="242"/>
      <c r="S162" s="242"/>
    </row>
    <row r="163" spans="16:19" s="233" customFormat="1">
      <c r="P163" s="242"/>
      <c r="Q163" s="242"/>
      <c r="R163" s="242"/>
      <c r="S163" s="242"/>
    </row>
    <row r="164" spans="16:19" s="233" customFormat="1">
      <c r="P164" s="242"/>
      <c r="Q164" s="242"/>
      <c r="R164" s="242"/>
      <c r="S164" s="242"/>
    </row>
    <row r="165" spans="16:19" s="233" customFormat="1">
      <c r="P165" s="242"/>
      <c r="Q165" s="242"/>
      <c r="R165" s="242"/>
      <c r="S165" s="242"/>
    </row>
    <row r="166" spans="16:19" s="233" customFormat="1">
      <c r="P166" s="242"/>
      <c r="Q166" s="242"/>
      <c r="R166" s="242"/>
      <c r="S166" s="242"/>
    </row>
    <row r="167" spans="16:19" s="233" customFormat="1">
      <c r="P167" s="242"/>
      <c r="Q167" s="242"/>
      <c r="R167" s="242"/>
      <c r="S167" s="242"/>
    </row>
    <row r="168" spans="16:19" s="233" customFormat="1">
      <c r="P168" s="242"/>
      <c r="Q168" s="242"/>
      <c r="R168" s="242"/>
      <c r="S168" s="242"/>
    </row>
    <row r="169" spans="16:19" s="233" customFormat="1">
      <c r="P169" s="242"/>
      <c r="Q169" s="242"/>
      <c r="R169" s="242"/>
      <c r="S169" s="242"/>
    </row>
    <row r="170" spans="16:19" s="233" customFormat="1">
      <c r="P170" s="242"/>
      <c r="Q170" s="242"/>
      <c r="R170" s="242"/>
      <c r="S170" s="242"/>
    </row>
    <row r="171" spans="16:19" s="233" customFormat="1">
      <c r="P171" s="242"/>
      <c r="Q171" s="242"/>
      <c r="R171" s="242"/>
      <c r="S171" s="242"/>
    </row>
    <row r="172" spans="16:19" s="233" customFormat="1">
      <c r="P172" s="242"/>
      <c r="Q172" s="242"/>
      <c r="R172" s="242"/>
      <c r="S172" s="242"/>
    </row>
    <row r="173" spans="16:19" s="233" customFormat="1">
      <c r="P173" s="242"/>
      <c r="Q173" s="242"/>
      <c r="R173" s="242"/>
      <c r="S173" s="242"/>
    </row>
    <row r="174" spans="16:19" s="233" customFormat="1">
      <c r="P174" s="242"/>
      <c r="Q174" s="242"/>
      <c r="R174" s="242"/>
      <c r="S174" s="242"/>
    </row>
    <row r="175" spans="16:19" s="233" customFormat="1">
      <c r="P175" s="242"/>
      <c r="Q175" s="242"/>
      <c r="R175" s="242"/>
      <c r="S175" s="242"/>
    </row>
    <row r="176" spans="16:19" s="233" customFormat="1">
      <c r="P176" s="242"/>
      <c r="Q176" s="242"/>
      <c r="R176" s="242"/>
      <c r="S176" s="242"/>
    </row>
    <row r="177" spans="1:15">
      <c r="A177" s="233"/>
      <c r="C177" s="233"/>
      <c r="D177" s="233"/>
      <c r="E177" s="233"/>
      <c r="G177" s="233"/>
      <c r="H177" s="233"/>
      <c r="I177" s="233"/>
      <c r="J177" s="233"/>
      <c r="K177" s="233"/>
      <c r="L177" s="233"/>
      <c r="N177" s="233"/>
      <c r="O177" s="233"/>
    </row>
    <row r="178" spans="1:15">
      <c r="A178" s="233"/>
      <c r="C178" s="233"/>
      <c r="D178" s="233"/>
      <c r="E178" s="233"/>
      <c r="G178" s="233"/>
      <c r="H178" s="233"/>
      <c r="I178" s="233"/>
      <c r="J178" s="233"/>
      <c r="K178" s="233"/>
      <c r="L178" s="233"/>
      <c r="N178" s="233"/>
      <c r="O178" s="233"/>
    </row>
  </sheetData>
  <mergeCells count="288">
    <mergeCell ref="J111:J113"/>
    <mergeCell ref="L111:L113"/>
    <mergeCell ref="A114:A121"/>
    <mergeCell ref="B114:B121"/>
    <mergeCell ref="C114:C121"/>
    <mergeCell ref="D114:D121"/>
    <mergeCell ref="E114:E121"/>
    <mergeCell ref="F114:F121"/>
    <mergeCell ref="G114:G121"/>
    <mergeCell ref="H114:H116"/>
    <mergeCell ref="I114:I116"/>
    <mergeCell ref="J114:J116"/>
    <mergeCell ref="L114:L116"/>
    <mergeCell ref="H117:H121"/>
    <mergeCell ref="I117:I121"/>
    <mergeCell ref="J117:J121"/>
    <mergeCell ref="L117:L121"/>
    <mergeCell ref="I111:I113"/>
    <mergeCell ref="J100:J102"/>
    <mergeCell ref="L100:L102"/>
    <mergeCell ref="A104:A113"/>
    <mergeCell ref="B104:B113"/>
    <mergeCell ref="C104:C113"/>
    <mergeCell ref="D104:D113"/>
    <mergeCell ref="E104:E106"/>
    <mergeCell ref="F104:F106"/>
    <mergeCell ref="G104:G106"/>
    <mergeCell ref="H104:H106"/>
    <mergeCell ref="I104:I106"/>
    <mergeCell ref="J104:J106"/>
    <mergeCell ref="L104:L106"/>
    <mergeCell ref="E107:E110"/>
    <mergeCell ref="F107:F110"/>
    <mergeCell ref="G107:G110"/>
    <mergeCell ref="H107:H110"/>
    <mergeCell ref="I107:I110"/>
    <mergeCell ref="J107:J110"/>
    <mergeCell ref="L107:L110"/>
    <mergeCell ref="E111:E113"/>
    <mergeCell ref="F111:F113"/>
    <mergeCell ref="G111:G113"/>
    <mergeCell ref="H111:H113"/>
    <mergeCell ref="J91:J93"/>
    <mergeCell ref="L91:L93"/>
    <mergeCell ref="H94:H96"/>
    <mergeCell ref="I94:I96"/>
    <mergeCell ref="J94:J96"/>
    <mergeCell ref="L94:L96"/>
    <mergeCell ref="H97:H99"/>
    <mergeCell ref="I97:I99"/>
    <mergeCell ref="J97:J99"/>
    <mergeCell ref="L97:L99"/>
    <mergeCell ref="A91:A103"/>
    <mergeCell ref="B91:B103"/>
    <mergeCell ref="C91:C103"/>
    <mergeCell ref="D91:D103"/>
    <mergeCell ref="E91:E99"/>
    <mergeCell ref="F91:F99"/>
    <mergeCell ref="G91:G99"/>
    <mergeCell ref="H91:H93"/>
    <mergeCell ref="I91:I93"/>
    <mergeCell ref="E100:E103"/>
    <mergeCell ref="F100:F103"/>
    <mergeCell ref="G100:G103"/>
    <mergeCell ref="H100:H102"/>
    <mergeCell ref="I100:I102"/>
    <mergeCell ref="J86:J87"/>
    <mergeCell ref="L86:L87"/>
    <mergeCell ref="E88:E90"/>
    <mergeCell ref="F88:F90"/>
    <mergeCell ref="G88:G90"/>
    <mergeCell ref="H88:H90"/>
    <mergeCell ref="I88:I90"/>
    <mergeCell ref="J88:J90"/>
    <mergeCell ref="L88:L90"/>
    <mergeCell ref="J79:J82"/>
    <mergeCell ref="L79:L82"/>
    <mergeCell ref="E83:E85"/>
    <mergeCell ref="F83:F85"/>
    <mergeCell ref="G83:G85"/>
    <mergeCell ref="H83:H85"/>
    <mergeCell ref="I83:I85"/>
    <mergeCell ref="J83:J85"/>
    <mergeCell ref="L83:L85"/>
    <mergeCell ref="A76:A90"/>
    <mergeCell ref="B76:B90"/>
    <mergeCell ref="C76:C90"/>
    <mergeCell ref="D76:D90"/>
    <mergeCell ref="E79:E82"/>
    <mergeCell ref="F79:F82"/>
    <mergeCell ref="G79:G82"/>
    <mergeCell ref="H79:H82"/>
    <mergeCell ref="I79:I82"/>
    <mergeCell ref="E86:E87"/>
    <mergeCell ref="F86:F87"/>
    <mergeCell ref="G86:G87"/>
    <mergeCell ref="H86:H87"/>
    <mergeCell ref="I86:I87"/>
    <mergeCell ref="H71:H74"/>
    <mergeCell ref="I71:I74"/>
    <mergeCell ref="J71:J74"/>
    <mergeCell ref="L71:L74"/>
    <mergeCell ref="H69:H70"/>
    <mergeCell ref="I69:I70"/>
    <mergeCell ref="J69:J70"/>
    <mergeCell ref="L69:L70"/>
    <mergeCell ref="A71:A74"/>
    <mergeCell ref="B71:B74"/>
    <mergeCell ref="C71:C74"/>
    <mergeCell ref="E71:E74"/>
    <mergeCell ref="F71:F74"/>
    <mergeCell ref="G71:G74"/>
    <mergeCell ref="A67:A70"/>
    <mergeCell ref="B67:B70"/>
    <mergeCell ref="C67:C70"/>
    <mergeCell ref="E67:E70"/>
    <mergeCell ref="F67:F70"/>
    <mergeCell ref="G67:G70"/>
    <mergeCell ref="H58:H60"/>
    <mergeCell ref="I58:I60"/>
    <mergeCell ref="J58:J60"/>
    <mergeCell ref="L58:L60"/>
    <mergeCell ref="E61:E66"/>
    <mergeCell ref="F61:F66"/>
    <mergeCell ref="G61:G66"/>
    <mergeCell ref="H61:H62"/>
    <mergeCell ref="I61:I62"/>
    <mergeCell ref="J61:J62"/>
    <mergeCell ref="L61:L62"/>
    <mergeCell ref="H63:H64"/>
    <mergeCell ref="I63:I64"/>
    <mergeCell ref="J63:J64"/>
    <mergeCell ref="L63:L64"/>
    <mergeCell ref="H65:H66"/>
    <mergeCell ref="I65:I66"/>
    <mergeCell ref="J65:J66"/>
    <mergeCell ref="L65:L66"/>
    <mergeCell ref="A58:A66"/>
    <mergeCell ref="B58:B66"/>
    <mergeCell ref="C58:C66"/>
    <mergeCell ref="E58:E60"/>
    <mergeCell ref="F58:F60"/>
    <mergeCell ref="G58:G60"/>
    <mergeCell ref="A55:A57"/>
    <mergeCell ref="B55:B57"/>
    <mergeCell ref="C55:C57"/>
    <mergeCell ref="E55:E56"/>
    <mergeCell ref="F55:F56"/>
    <mergeCell ref="G55:G56"/>
    <mergeCell ref="H44:H46"/>
    <mergeCell ref="I44:I46"/>
    <mergeCell ref="J44:J46"/>
    <mergeCell ref="L44:L46"/>
    <mergeCell ref="E47:E49"/>
    <mergeCell ref="F47:F49"/>
    <mergeCell ref="G47:G49"/>
    <mergeCell ref="H47:H48"/>
    <mergeCell ref="I47:I48"/>
    <mergeCell ref="J47:J48"/>
    <mergeCell ref="H41:H42"/>
    <mergeCell ref="I41:I42"/>
    <mergeCell ref="J41:J42"/>
    <mergeCell ref="L41:L42"/>
    <mergeCell ref="A44:A54"/>
    <mergeCell ref="B44:B54"/>
    <mergeCell ref="C44:C54"/>
    <mergeCell ref="E44:E46"/>
    <mergeCell ref="F44:F46"/>
    <mergeCell ref="G44:G46"/>
    <mergeCell ref="A41:A43"/>
    <mergeCell ref="B41:B43"/>
    <mergeCell ref="C41:C43"/>
    <mergeCell ref="E41:E43"/>
    <mergeCell ref="F41:F43"/>
    <mergeCell ref="G41:G43"/>
    <mergeCell ref="L47:L48"/>
    <mergeCell ref="E50:E53"/>
    <mergeCell ref="F50:F53"/>
    <mergeCell ref="G50:G53"/>
    <mergeCell ref="H51:H52"/>
    <mergeCell ref="I51:I52"/>
    <mergeCell ref="J51:J52"/>
    <mergeCell ref="L51:L52"/>
    <mergeCell ref="L36:L38"/>
    <mergeCell ref="E39:E40"/>
    <mergeCell ref="F39:F40"/>
    <mergeCell ref="G39:G40"/>
    <mergeCell ref="H39:H40"/>
    <mergeCell ref="I39:I40"/>
    <mergeCell ref="J39:J40"/>
    <mergeCell ref="L39:L40"/>
    <mergeCell ref="L34:L35"/>
    <mergeCell ref="H34:H35"/>
    <mergeCell ref="I34:I35"/>
    <mergeCell ref="J34:J35"/>
    <mergeCell ref="A36:A40"/>
    <mergeCell ref="B36:B40"/>
    <mergeCell ref="C36:C40"/>
    <mergeCell ref="E36:E38"/>
    <mergeCell ref="F36:F38"/>
    <mergeCell ref="G36:G38"/>
    <mergeCell ref="H36:H38"/>
    <mergeCell ref="I36:I38"/>
    <mergeCell ref="J36:J38"/>
    <mergeCell ref="A20:A35"/>
    <mergeCell ref="B20:B35"/>
    <mergeCell ref="C20:C35"/>
    <mergeCell ref="E20:E21"/>
    <mergeCell ref="F20:F21"/>
    <mergeCell ref="G20:G21"/>
    <mergeCell ref="E28:E33"/>
    <mergeCell ref="F28:F33"/>
    <mergeCell ref="G28:G33"/>
    <mergeCell ref="E22:E27"/>
    <mergeCell ref="F22:F27"/>
    <mergeCell ref="G22:G27"/>
    <mergeCell ref="E34:E35"/>
    <mergeCell ref="F34:F35"/>
    <mergeCell ref="G34:G35"/>
    <mergeCell ref="A6:A15"/>
    <mergeCell ref="B6:B15"/>
    <mergeCell ref="C6:C15"/>
    <mergeCell ref="E7:E15"/>
    <mergeCell ref="F7:F15"/>
    <mergeCell ref="G7:G15"/>
    <mergeCell ref="H12:H14"/>
    <mergeCell ref="I12:I14"/>
    <mergeCell ref="J12:J14"/>
    <mergeCell ref="H7:H9"/>
    <mergeCell ref="I7:I9"/>
    <mergeCell ref="J7:J9"/>
    <mergeCell ref="A16:A19"/>
    <mergeCell ref="B16:B19"/>
    <mergeCell ref="C16:C19"/>
    <mergeCell ref="E18:E19"/>
    <mergeCell ref="F18:F19"/>
    <mergeCell ref="G18:G19"/>
    <mergeCell ref="H18:H19"/>
    <mergeCell ref="I18:I19"/>
    <mergeCell ref="J18:J19"/>
    <mergeCell ref="L7:L9"/>
    <mergeCell ref="H20:H21"/>
    <mergeCell ref="D71:D74"/>
    <mergeCell ref="H10:H11"/>
    <mergeCell ref="I10:I11"/>
    <mergeCell ref="J10:J11"/>
    <mergeCell ref="L10:L11"/>
    <mergeCell ref="I20:I21"/>
    <mergeCell ref="J20:J21"/>
    <mergeCell ref="L20:L21"/>
    <mergeCell ref="H22:H25"/>
    <mergeCell ref="I22:I25"/>
    <mergeCell ref="J22:J25"/>
    <mergeCell ref="H31:H33"/>
    <mergeCell ref="I31:I33"/>
    <mergeCell ref="J31:J33"/>
    <mergeCell ref="L31:L33"/>
    <mergeCell ref="L22:L25"/>
    <mergeCell ref="J26:J27"/>
    <mergeCell ref="L26:L27"/>
    <mergeCell ref="H28:H30"/>
    <mergeCell ref="I28:I30"/>
    <mergeCell ref="J28:J30"/>
    <mergeCell ref="L28:L30"/>
    <mergeCell ref="J76:J78"/>
    <mergeCell ref="L76:L78"/>
    <mergeCell ref="H26:H27"/>
    <mergeCell ref="I26:I27"/>
    <mergeCell ref="A3:D3"/>
    <mergeCell ref="I76:I78"/>
    <mergeCell ref="D6:D15"/>
    <mergeCell ref="D16:D19"/>
    <mergeCell ref="D20:D35"/>
    <mergeCell ref="D36:D40"/>
    <mergeCell ref="D41:D43"/>
    <mergeCell ref="D44:D54"/>
    <mergeCell ref="D55:D57"/>
    <mergeCell ref="D58:D66"/>
    <mergeCell ref="D67:D70"/>
    <mergeCell ref="F76:F78"/>
    <mergeCell ref="E76:E78"/>
    <mergeCell ref="G76:G78"/>
    <mergeCell ref="E3:G3"/>
    <mergeCell ref="H3:J3"/>
    <mergeCell ref="K3:O3"/>
    <mergeCell ref="H76:H78"/>
    <mergeCell ref="L12:L14"/>
    <mergeCell ref="L18:L19"/>
  </mergeCells>
  <phoneticPr fontId="2" type="noConversion"/>
  <printOptions horizontalCentered="1"/>
  <pageMargins left="0.70000000000000007" right="0.70000000000000007" top="0.75000000000000011" bottom="0.75000000000000011" header="0.30000000000000004" footer="0.30000000000000004"/>
  <pageSetup paperSize="8" scale="68" fitToHeight="15" orientation="landscape" horizontalDpi="4294967292" verticalDpi="4294967292"/>
  <extLst>
    <ext xmlns:mx="http://schemas.microsoft.com/office/mac/excel/2008/main" uri="{64002731-A6B0-56B0-2670-7721B7C09600}">
      <mx:PLV Mode="0" OnePage="0" WScale="47"/>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2:U25"/>
  <sheetViews>
    <sheetView zoomScale="125" zoomScaleNormal="125" zoomScalePageLayoutView="125" workbookViewId="0">
      <selection activeCell="F9" sqref="F9"/>
    </sheetView>
  </sheetViews>
  <sheetFormatPr baseColWidth="10" defaultColWidth="8.83203125" defaultRowHeight="14" x14ac:dyDescent="0"/>
  <cols>
    <col min="1" max="1" width="3.6640625" style="2" customWidth="1"/>
    <col min="2" max="2" width="5.6640625" style="2" customWidth="1"/>
    <col min="3" max="3" width="14" style="2" customWidth="1"/>
    <col min="4" max="4" width="11.1640625" style="2" customWidth="1"/>
    <col min="5" max="5" width="11.33203125" style="2" customWidth="1"/>
    <col min="6" max="6" width="11" style="2" bestFit="1" customWidth="1"/>
    <col min="7" max="7" width="11.5" style="2" customWidth="1"/>
    <col min="8" max="8" width="10.83203125" style="2" customWidth="1"/>
    <col min="9" max="9" width="11.6640625" style="2" customWidth="1"/>
    <col min="10" max="10" width="12.6640625" style="2" customWidth="1"/>
    <col min="11" max="11" width="11.1640625" style="2" customWidth="1"/>
    <col min="12" max="12" width="12.33203125" style="2" customWidth="1"/>
    <col min="13" max="13" width="11.33203125" style="2" customWidth="1"/>
    <col min="14" max="14" width="12" style="2" customWidth="1"/>
    <col min="15" max="15" width="11.1640625" style="2" customWidth="1"/>
    <col min="16" max="16" width="12.83203125" style="2" customWidth="1"/>
    <col min="17" max="17" width="11.5" style="2" customWidth="1"/>
    <col min="18" max="19" width="13.33203125" style="2" customWidth="1"/>
    <col min="20" max="20" width="3.5" style="2" customWidth="1"/>
    <col min="21" max="21" width="15.1640625" style="2" bestFit="1" customWidth="1"/>
    <col min="22" max="16384" width="8.83203125" style="2"/>
  </cols>
  <sheetData>
    <row r="2" spans="1:21">
      <c r="A2" s="1" t="s">
        <v>72</v>
      </c>
    </row>
    <row r="3" spans="1:21" ht="28">
      <c r="A3" s="11"/>
      <c r="B3" s="11" t="s">
        <v>73</v>
      </c>
      <c r="C3" s="26" t="s">
        <v>74</v>
      </c>
      <c r="D3" s="582">
        <v>2014</v>
      </c>
      <c r="E3" s="582"/>
      <c r="F3" s="582">
        <v>2015</v>
      </c>
      <c r="G3" s="582"/>
      <c r="H3" s="582">
        <v>2016</v>
      </c>
      <c r="I3" s="582"/>
      <c r="J3" s="582">
        <v>2017</v>
      </c>
      <c r="K3" s="582"/>
      <c r="L3" s="582">
        <v>2018</v>
      </c>
      <c r="M3" s="582"/>
      <c r="N3" s="582">
        <v>2019</v>
      </c>
      <c r="O3" s="582"/>
      <c r="P3" s="582">
        <v>2020</v>
      </c>
      <c r="Q3" s="582"/>
      <c r="R3" s="582" t="s">
        <v>59</v>
      </c>
      <c r="S3" s="582"/>
      <c r="T3" s="42"/>
    </row>
    <row r="4" spans="1:21" ht="56">
      <c r="A4" s="11"/>
      <c r="B4" s="11"/>
      <c r="C4" s="11"/>
      <c r="D4" s="12" t="s">
        <v>75</v>
      </c>
      <c r="E4" s="12" t="s">
        <v>76</v>
      </c>
      <c r="F4" s="12" t="s">
        <v>77</v>
      </c>
      <c r="G4" s="12" t="s">
        <v>76</v>
      </c>
      <c r="H4" s="12" t="s">
        <v>77</v>
      </c>
      <c r="I4" s="12" t="s">
        <v>76</v>
      </c>
      <c r="J4" s="12" t="s">
        <v>77</v>
      </c>
      <c r="K4" s="12" t="s">
        <v>76</v>
      </c>
      <c r="L4" s="12" t="s">
        <v>77</v>
      </c>
      <c r="M4" s="12" t="s">
        <v>76</v>
      </c>
      <c r="N4" s="12" t="s">
        <v>77</v>
      </c>
      <c r="O4" s="12" t="s">
        <v>76</v>
      </c>
      <c r="P4" s="12" t="s">
        <v>77</v>
      </c>
      <c r="Q4" s="12" t="s">
        <v>76</v>
      </c>
      <c r="R4" s="12" t="s">
        <v>77</v>
      </c>
      <c r="S4" s="12" t="s">
        <v>76</v>
      </c>
      <c r="T4" s="42"/>
    </row>
    <row r="5" spans="1:21" ht="33.75" customHeight="1">
      <c r="A5" s="39">
        <v>-1</v>
      </c>
      <c r="B5" s="39" t="s">
        <v>70</v>
      </c>
      <c r="C5" s="25" t="s">
        <v>78</v>
      </c>
      <c r="D5" s="31">
        <f>+'Tab. 18.a'!$L$20*E18</f>
        <v>0</v>
      </c>
      <c r="E5" s="31">
        <f>'Tab. 18.a'!$N20*'Tab. 17'!E18</f>
        <v>0</v>
      </c>
      <c r="F5" s="31">
        <f>+'Tab. 18.a'!$L$20*G18</f>
        <v>390733008.34666955</v>
      </c>
      <c r="G5" s="31">
        <f>'Tab. 18.a'!$N20*'Tab. 17'!G18</f>
        <v>24940404.779999994</v>
      </c>
      <c r="H5" s="31">
        <f>+'Tab. 18.a'!$L$20*I18</f>
        <v>201252357.88524291</v>
      </c>
      <c r="I5" s="31">
        <f>'Tab. 18.a'!$N20*'Tab. 17'!I18</f>
        <v>12845895.179999998</v>
      </c>
      <c r="J5" s="31">
        <f>+'Tab. 18.a'!$L$20*K18</f>
        <v>205280125.34654865</v>
      </c>
      <c r="K5" s="31">
        <f>'Tab. 18.a'!$N20*'Tab. 17'!K18</f>
        <v>13102986.719999999</v>
      </c>
      <c r="L5" s="31">
        <f>+'Tab. 18.a'!$L$20*M18</f>
        <v>209388377.48788047</v>
      </c>
      <c r="M5" s="31">
        <f>'Tab. 18.a'!$N20*'Tab. 17'!M18</f>
        <v>13365215.579999996</v>
      </c>
      <c r="N5" s="31">
        <f>+'Tab. 18.a'!$L$20*O18</f>
        <v>213578709.48923889</v>
      </c>
      <c r="O5" s="31">
        <f>'Tab. 18.a'!$N20*'Tab. 17'!O18</f>
        <v>13632683.579999996</v>
      </c>
      <c r="P5" s="31">
        <f>+'Tab. 18.a'!$L$20*Q18</f>
        <v>217852511.6106244</v>
      </c>
      <c r="Q5" s="31">
        <f>'Tab. 18.a'!$N20*'Tab. 17'!Q18</f>
        <v>13905479.459999995</v>
      </c>
      <c r="R5" s="31">
        <f t="shared" ref="R5:S8" si="0">SUM(D5,F5,H5,J5,L5,N5,P5)</f>
        <v>1438085090.1662049</v>
      </c>
      <c r="S5" s="31">
        <f t="shared" si="0"/>
        <v>91792665.299999982</v>
      </c>
      <c r="T5" s="42"/>
      <c r="U5" s="31">
        <f>+R5+S5</f>
        <v>1529877755.4662049</v>
      </c>
    </row>
    <row r="6" spans="1:21" ht="33.75" customHeight="1">
      <c r="A6" s="39">
        <v>-5</v>
      </c>
      <c r="B6" s="39" t="s">
        <v>79</v>
      </c>
      <c r="C6" s="25" t="s">
        <v>80</v>
      </c>
      <c r="D6" s="31">
        <f>'Tab. 18.a'!$L$21*E19</f>
        <v>0</v>
      </c>
      <c r="E6" s="31">
        <f>+'Tab. 18.a'!$N21*'Tab. 17'!E19</f>
        <v>0</v>
      </c>
      <c r="F6" s="31">
        <f>'Tab. 18.a'!$L$21*G19</f>
        <v>55658137.002125494</v>
      </c>
      <c r="G6" s="31">
        <f>+'Tab. 18.a'!$N21*'Tab. 17'!G19</f>
        <v>3552647.042688861</v>
      </c>
      <c r="H6" s="31">
        <f>'Tab. 18.a'!$L$21*I19</f>
        <v>35245051.866675615</v>
      </c>
      <c r="I6" s="31">
        <f>+'Tab. 18.a'!$N21*'Tab. 17'!I19</f>
        <v>2249684.161702699</v>
      </c>
      <c r="J6" s="31">
        <f>'Tab. 18.a'!$L$21*K19</f>
        <v>35950429.747209489</v>
      </c>
      <c r="K6" s="31">
        <f>+'Tab. 18.a'!$N21*'Tab. 17'!K19</f>
        <v>2294708.2817367762</v>
      </c>
      <c r="L6" s="31">
        <f>'Tab. 18.a'!$L$21*M19</f>
        <v>36669901.987754032</v>
      </c>
      <c r="M6" s="31">
        <f>+'Tab. 18.a'!$N21*'Tab. 17'!M19</f>
        <v>2340632.0417715339</v>
      </c>
      <c r="N6" s="31">
        <f>'Tab. 18.a'!$L$21*O19</f>
        <v>37403748.708309449</v>
      </c>
      <c r="O6" s="31">
        <f>+'Tab. 18.a'!$N21*'Tab. 17'!O19</f>
        <v>2387473.3218069864</v>
      </c>
      <c r="P6" s="31">
        <f>'Tab. 18.a'!$L$21*Q19</f>
        <v>38152214.308875941</v>
      </c>
      <c r="Q6" s="31">
        <f>+'Tab. 18.a'!$N21*'Tab. 17'!Q19</f>
        <v>2435247.7218431449</v>
      </c>
      <c r="R6" s="31">
        <f t="shared" si="0"/>
        <v>239079483.62095004</v>
      </c>
      <c r="S6" s="31">
        <f t="shared" si="0"/>
        <v>15260392.57155</v>
      </c>
      <c r="T6" s="42"/>
      <c r="U6" s="31">
        <f t="shared" ref="U6:U8" si="1">+R6+S6</f>
        <v>254339876.19250005</v>
      </c>
    </row>
    <row r="7" spans="1:21" ht="27.75" customHeight="1">
      <c r="A7" s="39">
        <v>-8</v>
      </c>
      <c r="B7" s="39"/>
      <c r="C7" s="25" t="s">
        <v>81</v>
      </c>
      <c r="D7" s="31">
        <f>SUM(D5:D6)</f>
        <v>0</v>
      </c>
      <c r="E7" s="31">
        <f t="shared" ref="E7:Q7" si="2">SUM(E5:E6)</f>
        <v>0</v>
      </c>
      <c r="F7" s="31">
        <f t="shared" si="2"/>
        <v>446391145.34879506</v>
      </c>
      <c r="G7" s="31">
        <f t="shared" si="2"/>
        <v>28493051.822688855</v>
      </c>
      <c r="H7" s="31">
        <f t="shared" si="2"/>
        <v>236497409.75191852</v>
      </c>
      <c r="I7" s="31">
        <f t="shared" si="2"/>
        <v>15095579.341702696</v>
      </c>
      <c r="J7" s="31">
        <f t="shared" si="2"/>
        <v>241230555.09375814</v>
      </c>
      <c r="K7" s="31">
        <f t="shared" si="2"/>
        <v>15397695.001736775</v>
      </c>
      <c r="L7" s="31">
        <f t="shared" si="2"/>
        <v>246058279.47563452</v>
      </c>
      <c r="M7" s="31">
        <f t="shared" si="2"/>
        <v>15705847.621771529</v>
      </c>
      <c r="N7" s="31">
        <f t="shared" si="2"/>
        <v>250982458.19754833</v>
      </c>
      <c r="O7" s="31">
        <f t="shared" si="2"/>
        <v>16020156.901806982</v>
      </c>
      <c r="P7" s="31">
        <f t="shared" si="2"/>
        <v>256004725.91950035</v>
      </c>
      <c r="Q7" s="31">
        <f t="shared" si="2"/>
        <v>16340727.181843139</v>
      </c>
      <c r="R7" s="31">
        <f t="shared" si="0"/>
        <v>1677164573.7871549</v>
      </c>
      <c r="S7" s="31">
        <f t="shared" si="0"/>
        <v>107053057.87154996</v>
      </c>
      <c r="T7" s="42"/>
      <c r="U7" s="31">
        <f t="shared" si="1"/>
        <v>1784217631.6587048</v>
      </c>
    </row>
    <row r="8" spans="1:21" ht="20.25" customHeight="1">
      <c r="A8" s="11">
        <v>-12</v>
      </c>
      <c r="B8" s="11" t="s">
        <v>59</v>
      </c>
      <c r="C8" s="11"/>
      <c r="D8" s="36">
        <f>SUM(D7)</f>
        <v>0</v>
      </c>
      <c r="E8" s="36">
        <f t="shared" ref="E8:Q8" si="3">SUM(E7)</f>
        <v>0</v>
      </c>
      <c r="F8" s="36">
        <f t="shared" si="3"/>
        <v>446391145.34879506</v>
      </c>
      <c r="G8" s="36">
        <f t="shared" si="3"/>
        <v>28493051.822688855</v>
      </c>
      <c r="H8" s="36">
        <f t="shared" si="3"/>
        <v>236497409.75191852</v>
      </c>
      <c r="I8" s="36">
        <f t="shared" si="3"/>
        <v>15095579.341702696</v>
      </c>
      <c r="J8" s="36">
        <f t="shared" si="3"/>
        <v>241230555.09375814</v>
      </c>
      <c r="K8" s="36">
        <f t="shared" si="3"/>
        <v>15397695.001736775</v>
      </c>
      <c r="L8" s="36">
        <f t="shared" si="3"/>
        <v>246058279.47563452</v>
      </c>
      <c r="M8" s="36">
        <f t="shared" si="3"/>
        <v>15705847.621771529</v>
      </c>
      <c r="N8" s="36">
        <f t="shared" si="3"/>
        <v>250982458.19754833</v>
      </c>
      <c r="O8" s="36">
        <f t="shared" si="3"/>
        <v>16020156.901806982</v>
      </c>
      <c r="P8" s="36">
        <f t="shared" si="3"/>
        <v>256004725.91950035</v>
      </c>
      <c r="Q8" s="36">
        <f t="shared" si="3"/>
        <v>16340727.181843139</v>
      </c>
      <c r="R8" s="36">
        <f t="shared" si="0"/>
        <v>1677164573.7871549</v>
      </c>
      <c r="S8" s="36">
        <f t="shared" si="0"/>
        <v>107053057.87154996</v>
      </c>
      <c r="T8" s="42"/>
      <c r="U8" s="36">
        <f t="shared" si="1"/>
        <v>1784217631.6587048</v>
      </c>
    </row>
    <row r="9" spans="1:21">
      <c r="T9" s="42"/>
    </row>
    <row r="10" spans="1:21" ht="16">
      <c r="A10" s="3"/>
      <c r="T10" s="42"/>
    </row>
    <row r="11" spans="1:21">
      <c r="A11" s="4" t="s">
        <v>82</v>
      </c>
      <c r="B11" s="5" t="s">
        <v>83</v>
      </c>
    </row>
    <row r="12" spans="1:21">
      <c r="A12" s="4" t="s">
        <v>84</v>
      </c>
      <c r="B12" s="5" t="s">
        <v>85</v>
      </c>
    </row>
    <row r="14" spans="1:21">
      <c r="D14" s="58"/>
      <c r="F14" s="58"/>
      <c r="H14" s="58"/>
      <c r="J14" s="58"/>
      <c r="L14" s="58"/>
      <c r="M14" s="58"/>
      <c r="N14" s="58"/>
      <c r="P14" s="58"/>
      <c r="R14" s="58"/>
    </row>
    <row r="15" spans="1:21">
      <c r="D15" s="58"/>
      <c r="F15" s="58"/>
      <c r="H15" s="58"/>
      <c r="J15" s="58"/>
      <c r="L15" s="58"/>
      <c r="M15" s="58"/>
      <c r="N15" s="58"/>
      <c r="P15" s="58"/>
      <c r="R15" s="58"/>
    </row>
    <row r="16" spans="1:21" hidden="1">
      <c r="C16" s="2" t="s">
        <v>86</v>
      </c>
    </row>
    <row r="17" spans="3:20" hidden="1">
      <c r="C17" s="6"/>
      <c r="D17" s="583">
        <v>2014</v>
      </c>
      <c r="E17" s="584"/>
      <c r="F17" s="583">
        <v>2015</v>
      </c>
      <c r="G17" s="584"/>
      <c r="H17" s="583">
        <v>2016</v>
      </c>
      <c r="I17" s="584"/>
      <c r="J17" s="583">
        <v>2017</v>
      </c>
      <c r="K17" s="584"/>
      <c r="L17" s="583">
        <v>2018</v>
      </c>
      <c r="M17" s="584"/>
      <c r="N17" s="583">
        <v>2019</v>
      </c>
      <c r="O17" s="584"/>
      <c r="P17" s="583">
        <v>2020</v>
      </c>
      <c r="Q17" s="584"/>
      <c r="R17" s="583" t="s">
        <v>59</v>
      </c>
      <c r="S17" s="584"/>
      <c r="T17" s="7"/>
    </row>
    <row r="18" spans="3:20" hidden="1">
      <c r="C18" s="31" t="s">
        <v>87</v>
      </c>
      <c r="D18" s="31">
        <v>0</v>
      </c>
      <c r="E18" s="8">
        <f>+D18/$R18</f>
        <v>0</v>
      </c>
      <c r="F18" s="31">
        <f>+D23+F23</f>
        <v>415673413</v>
      </c>
      <c r="G18" s="8">
        <f>+F18/$R18</f>
        <v>0.27170367804975371</v>
      </c>
      <c r="H18" s="31">
        <v>214098253</v>
      </c>
      <c r="I18" s="8">
        <f>+H18/$R18</f>
        <v>0.13994468008981542</v>
      </c>
      <c r="J18" s="31">
        <v>218383112</v>
      </c>
      <c r="K18" s="8">
        <f>+J18/$R18</f>
        <v>0.1427454653068016</v>
      </c>
      <c r="L18" s="31">
        <v>222753593</v>
      </c>
      <c r="M18" s="8">
        <f>+L18/$R18</f>
        <v>0.14560221708694626</v>
      </c>
      <c r="N18" s="31">
        <v>227211393</v>
      </c>
      <c r="O18" s="8">
        <f>+N18/$R18</f>
        <v>0.14851604466920298</v>
      </c>
      <c r="P18" s="31">
        <v>231757991</v>
      </c>
      <c r="Q18" s="8">
        <f>+P18/$R18</f>
        <v>0.15148791479748</v>
      </c>
      <c r="R18" s="31">
        <f>SUM(D18,F18,H18,J18,L18,N18,P18)</f>
        <v>1529877755</v>
      </c>
      <c r="S18" s="8">
        <f>+R18/$R18</f>
        <v>1</v>
      </c>
      <c r="T18" s="9"/>
    </row>
    <row r="19" spans="3:20" hidden="1">
      <c r="C19" s="31" t="s">
        <v>88</v>
      </c>
      <c r="D19" s="31">
        <v>0</v>
      </c>
      <c r="E19" s="8">
        <f>+D19/$R19</f>
        <v>0</v>
      </c>
      <c r="F19" s="31">
        <f>+D24+F24</f>
        <v>59210784</v>
      </c>
      <c r="G19" s="8">
        <f>+F19/$R19</f>
        <v>0.23280181201315048</v>
      </c>
      <c r="H19" s="31">
        <v>37494736</v>
      </c>
      <c r="I19" s="8">
        <f>+H19/$R19</f>
        <v>0.14741980923195858</v>
      </c>
      <c r="J19" s="31">
        <v>38245138</v>
      </c>
      <c r="K19" s="8">
        <f>+J19/$R19</f>
        <v>0.15037019991312728</v>
      </c>
      <c r="L19" s="31">
        <v>39010534</v>
      </c>
      <c r="M19" s="8">
        <f>+L19/$R19</f>
        <v>0.1533795432061939</v>
      </c>
      <c r="N19" s="31">
        <v>39791222</v>
      </c>
      <c r="O19" s="8">
        <f>+N19/$R19</f>
        <v>0.15644901077171242</v>
      </c>
      <c r="P19" s="31">
        <v>40587462</v>
      </c>
      <c r="Q19" s="8">
        <f>+P19/$R19</f>
        <v>0.15957962486385738</v>
      </c>
      <c r="R19" s="31">
        <f>SUM(D19,F19,H19,J19,L19,N19,P19)</f>
        <v>254339876</v>
      </c>
      <c r="S19" s="8">
        <f>+R19/$R19</f>
        <v>1</v>
      </c>
      <c r="T19" s="9"/>
    </row>
    <row r="20" spans="3:20" hidden="1">
      <c r="C20" s="10" t="s">
        <v>59</v>
      </c>
      <c r="D20" s="31">
        <f>SUM(D18:D19)</f>
        <v>0</v>
      </c>
      <c r="E20" s="8">
        <f>+D20/$R20</f>
        <v>0</v>
      </c>
      <c r="F20" s="31">
        <f t="shared" ref="F20" si="4">SUM(F18:F19)</f>
        <v>474884197</v>
      </c>
      <c r="G20" s="8">
        <f t="shared" ref="G20" si="5">+F20/$R20</f>
        <v>0.26615822461850785</v>
      </c>
      <c r="H20" s="31">
        <f t="shared" ref="H20" si="6">SUM(H18:H19)</f>
        <v>251592989</v>
      </c>
      <c r="I20" s="8">
        <f t="shared" ref="I20" si="7">+H20/$R20</f>
        <v>0.14101025829398947</v>
      </c>
      <c r="J20" s="31">
        <f t="shared" ref="J20" si="8">SUM(J18:J19)</f>
        <v>256628250</v>
      </c>
      <c r="K20" s="8">
        <f t="shared" ref="K20" si="9">+J20/$R20</f>
        <v>0.14383236974077407</v>
      </c>
      <c r="L20" s="31">
        <f t="shared" ref="L20" si="10">SUM(L18:L19)</f>
        <v>261764127</v>
      </c>
      <c r="M20" s="8">
        <f t="shared" ref="M20" si="11">+L20/$R20</f>
        <v>0.14671087341138375</v>
      </c>
      <c r="N20" s="31">
        <f t="shared" ref="N20" si="12">SUM(N18:N19)</f>
        <v>267002615</v>
      </c>
      <c r="O20" s="8">
        <f t="shared" ref="O20" si="13">+N20/$R20</f>
        <v>0.14964688744295904</v>
      </c>
      <c r="P20" s="31">
        <f t="shared" ref="P20" si="14">SUM(P18:P19)</f>
        <v>272345453</v>
      </c>
      <c r="Q20" s="8">
        <f t="shared" ref="Q20" si="15">+P20/$R20</f>
        <v>0.15264138649238582</v>
      </c>
      <c r="R20" s="31">
        <f t="shared" ref="R20" si="16">SUM(R18:R19)</f>
        <v>1784217631</v>
      </c>
      <c r="S20" s="8">
        <f t="shared" ref="S20" si="17">+R20/$R20</f>
        <v>1</v>
      </c>
      <c r="T20" s="9"/>
    </row>
    <row r="21" spans="3:20" hidden="1"/>
    <row r="22" spans="3:20" hidden="1">
      <c r="D22" s="583">
        <v>2014</v>
      </c>
      <c r="E22" s="584"/>
      <c r="F22" s="583">
        <v>2015</v>
      </c>
      <c r="G22" s="584"/>
      <c r="H22" s="82"/>
      <c r="I22" s="83"/>
      <c r="J22" s="82"/>
      <c r="K22" s="83"/>
      <c r="L22" s="82"/>
      <c r="M22" s="83"/>
      <c r="N22" s="82"/>
      <c r="O22" s="83"/>
      <c r="P22" s="82"/>
      <c r="Q22" s="83"/>
      <c r="R22" s="82"/>
      <c r="S22" s="83"/>
    </row>
    <row r="23" spans="3:20" hidden="1">
      <c r="C23" s="31" t="s">
        <v>87</v>
      </c>
      <c r="D23" s="31">
        <v>205776819</v>
      </c>
      <c r="E23" s="8" t="e">
        <f>+D23/$R23</f>
        <v>#DIV/0!</v>
      </c>
      <c r="F23" s="31">
        <v>209896594</v>
      </c>
      <c r="G23" s="8" t="e">
        <f>+F23/$R23</f>
        <v>#DIV/0!</v>
      </c>
      <c r="H23" s="82"/>
      <c r="I23" s="83"/>
      <c r="J23" s="82"/>
      <c r="K23" s="83"/>
      <c r="L23" s="82"/>
      <c r="M23" s="83"/>
      <c r="N23" s="82"/>
      <c r="O23" s="83"/>
      <c r="P23" s="82"/>
      <c r="Q23" s="83"/>
      <c r="R23" s="82"/>
      <c r="S23" s="83"/>
    </row>
    <row r="24" spans="3:20" hidden="1">
      <c r="C24" s="31" t="s">
        <v>88</v>
      </c>
      <c r="D24" s="31">
        <v>28405091</v>
      </c>
      <c r="E24" s="8" t="e">
        <f>+D24/$R24</f>
        <v>#DIV/0!</v>
      </c>
      <c r="F24" s="31">
        <v>30805693</v>
      </c>
      <c r="G24" s="8" t="e">
        <f>+F24/$R24</f>
        <v>#DIV/0!</v>
      </c>
    </row>
    <row r="25" spans="3:20" hidden="1">
      <c r="C25" s="10" t="s">
        <v>59</v>
      </c>
      <c r="D25" s="31">
        <f>SUM(D23:D24)</f>
        <v>234181910</v>
      </c>
      <c r="E25" s="8" t="e">
        <f>+D25/$R25</f>
        <v>#DIV/0!</v>
      </c>
      <c r="F25" s="31">
        <f t="shared" ref="F25" si="18">SUM(F23:F24)</f>
        <v>240702287</v>
      </c>
      <c r="G25" s="8" t="e">
        <f t="shared" ref="G25" si="19">+F25/$R25</f>
        <v>#DIV/0!</v>
      </c>
    </row>
  </sheetData>
  <mergeCells count="18">
    <mergeCell ref="D22:E22"/>
    <mergeCell ref="F22:G22"/>
    <mergeCell ref="R17:S17"/>
    <mergeCell ref="P17:Q17"/>
    <mergeCell ref="N17:O17"/>
    <mergeCell ref="L17:M17"/>
    <mergeCell ref="J17:K17"/>
    <mergeCell ref="H17:I17"/>
    <mergeCell ref="F17:G17"/>
    <mergeCell ref="D17:E17"/>
    <mergeCell ref="P3:Q3"/>
    <mergeCell ref="R3:S3"/>
    <mergeCell ref="D3:E3"/>
    <mergeCell ref="F3:G3"/>
    <mergeCell ref="H3:I3"/>
    <mergeCell ref="J3:K3"/>
    <mergeCell ref="L3:M3"/>
    <mergeCell ref="N3:O3"/>
  </mergeCells>
  <phoneticPr fontId="2" type="noConversion"/>
  <hyperlinks>
    <hyperlink ref="A11" location="_ftnref1" display="_ftnref1"/>
    <hyperlink ref="A12" location="_ftnref2" display="_ftnref2"/>
  </hyperlinks>
  <pageMargins left="0.70866141732283472" right="0.70866141732283472" top="0.74803149606299213" bottom="0.74803149606299213" header="0.31496062992125984" footer="0.31496062992125984"/>
  <pageSetup paperSize="9" scale="53" orientation="landscape"/>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W32"/>
  <sheetViews>
    <sheetView topLeftCell="A7" zoomScale="115" zoomScaleNormal="115" zoomScalePageLayoutView="115" workbookViewId="0">
      <selection activeCell="I13" sqref="I13"/>
    </sheetView>
  </sheetViews>
  <sheetFormatPr baseColWidth="10" defaultColWidth="8.83203125" defaultRowHeight="14" x14ac:dyDescent="0"/>
  <cols>
    <col min="1" max="1" width="20.5" style="2" customWidth="1"/>
    <col min="2" max="3" width="8.83203125" style="2"/>
    <col min="4" max="4" width="14.83203125" style="2" customWidth="1"/>
    <col min="5" max="5" width="14.1640625" style="2" customWidth="1"/>
    <col min="6" max="6" width="12.1640625" style="2" customWidth="1"/>
    <col min="7" max="7" width="13.6640625" style="2" customWidth="1"/>
    <col min="8" max="8" width="10" style="2" bestFit="1" customWidth="1"/>
    <col min="9" max="9" width="12" style="2" customWidth="1"/>
    <col min="10" max="10" width="9" style="2" bestFit="1" customWidth="1"/>
    <col min="11" max="11" width="13.5" style="2" customWidth="1"/>
    <col min="12" max="12" width="12.5" style="2" customWidth="1"/>
    <col min="13" max="13" width="12" style="2" customWidth="1"/>
    <col min="14" max="14" width="11" style="106" bestFit="1" customWidth="1"/>
    <col min="15" max="15" width="12.1640625" style="2" customWidth="1"/>
    <col min="16" max="16" width="16.83203125" style="2" customWidth="1"/>
    <col min="17" max="17" width="6.1640625" style="2" customWidth="1"/>
    <col min="18" max="18" width="13.5" style="2" hidden="1" customWidth="1"/>
    <col min="19" max="21" width="8.83203125" style="2" hidden="1" customWidth="1"/>
    <col min="22" max="22" width="13.1640625" style="2" hidden="1" customWidth="1"/>
    <col min="23" max="23" width="8.83203125" style="2" hidden="1" customWidth="1"/>
    <col min="24" max="16384" width="8.83203125" style="2"/>
  </cols>
  <sheetData>
    <row r="1" spans="1:23">
      <c r="N1" s="2"/>
    </row>
    <row r="2" spans="1:23">
      <c r="A2" s="38" t="s">
        <v>89</v>
      </c>
      <c r="G2" s="41">
        <v>0.25</v>
      </c>
      <c r="N2" s="2"/>
    </row>
    <row r="3" spans="1:23" ht="42">
      <c r="A3" s="582" t="s">
        <v>90</v>
      </c>
      <c r="B3" s="582" t="s">
        <v>73</v>
      </c>
      <c r="C3" s="582" t="s">
        <v>91</v>
      </c>
      <c r="D3" s="12" t="s">
        <v>92</v>
      </c>
      <c r="E3" s="582" t="s">
        <v>93</v>
      </c>
      <c r="F3" s="582" t="s">
        <v>94</v>
      </c>
      <c r="G3" s="582" t="s">
        <v>95</v>
      </c>
      <c r="H3" s="582"/>
      <c r="I3" s="582" t="s">
        <v>96</v>
      </c>
      <c r="J3" s="582" t="s">
        <v>97</v>
      </c>
      <c r="K3" s="12" t="s">
        <v>98</v>
      </c>
      <c r="L3" s="582" t="s">
        <v>99</v>
      </c>
      <c r="M3" s="582"/>
      <c r="N3" s="582" t="s">
        <v>100</v>
      </c>
      <c r="O3" s="582"/>
      <c r="P3" s="585" t="s">
        <v>101</v>
      </c>
      <c r="Q3" s="42"/>
    </row>
    <row r="4" spans="1:23" ht="56">
      <c r="A4" s="582"/>
      <c r="B4" s="582"/>
      <c r="C4" s="582"/>
      <c r="D4" s="12" t="s">
        <v>102</v>
      </c>
      <c r="E4" s="582"/>
      <c r="F4" s="582"/>
      <c r="G4" s="12" t="s">
        <v>103</v>
      </c>
      <c r="H4" s="12" t="s">
        <v>104</v>
      </c>
      <c r="I4" s="582"/>
      <c r="J4" s="582"/>
      <c r="K4" s="12" t="s">
        <v>105</v>
      </c>
      <c r="L4" s="12" t="s">
        <v>93</v>
      </c>
      <c r="M4" s="12" t="s">
        <v>94</v>
      </c>
      <c r="N4" s="107" t="s">
        <v>93</v>
      </c>
      <c r="O4" s="12" t="s">
        <v>106</v>
      </c>
      <c r="P4" s="586"/>
      <c r="Q4" s="42"/>
    </row>
    <row r="5" spans="1:23" ht="28">
      <c r="A5" s="11"/>
      <c r="B5" s="11"/>
      <c r="C5" s="11"/>
      <c r="D5" s="11"/>
      <c r="E5" s="43" t="s">
        <v>107</v>
      </c>
      <c r="F5" s="43" t="s">
        <v>108</v>
      </c>
      <c r="G5" s="43" t="s">
        <v>109</v>
      </c>
      <c r="H5" s="43" t="s">
        <v>110</v>
      </c>
      <c r="I5" s="43" t="s">
        <v>111</v>
      </c>
      <c r="J5" s="43" t="s">
        <v>159</v>
      </c>
      <c r="K5" s="43" t="s">
        <v>112</v>
      </c>
      <c r="L5" s="43" t="s">
        <v>113</v>
      </c>
      <c r="M5" s="43" t="s">
        <v>114</v>
      </c>
      <c r="N5" s="108" t="s">
        <v>115</v>
      </c>
      <c r="O5" s="43" t="s">
        <v>116</v>
      </c>
      <c r="P5" s="43" t="s">
        <v>117</v>
      </c>
      <c r="Q5" s="44"/>
    </row>
    <row r="6" spans="1:23" ht="42">
      <c r="A6" s="30" t="s">
        <v>118</v>
      </c>
      <c r="B6" s="30" t="s">
        <v>70</v>
      </c>
      <c r="C6" s="25" t="s">
        <v>119</v>
      </c>
      <c r="D6" s="40" t="s">
        <v>120</v>
      </c>
      <c r="E6" s="31">
        <f>'PF PO Cal'!B8</f>
        <v>157660062.73115963</v>
      </c>
      <c r="F6" s="31">
        <f>SUM(G6:H6)</f>
        <v>52553354.243719876</v>
      </c>
      <c r="G6" s="98">
        <f>(E6/(1-$G$2))-E6</f>
        <v>52553354.243719876</v>
      </c>
      <c r="H6" s="31"/>
      <c r="I6" s="31">
        <f>SUM(E6,F6)</f>
        <v>210213416.9748795</v>
      </c>
      <c r="J6" s="45">
        <f>+E6/I6</f>
        <v>0.75</v>
      </c>
      <c r="K6" s="31"/>
      <c r="L6" s="31">
        <f>+E6-N6</f>
        <v>147872578.23981249</v>
      </c>
      <c r="M6" s="31">
        <f>+F6-O6</f>
        <v>49290859.413270831</v>
      </c>
      <c r="N6" s="35">
        <f>+R6</f>
        <v>9787484.4913471323</v>
      </c>
      <c r="O6" s="31">
        <f>+F6*(N6/E6)</f>
        <v>3262494.8304490442</v>
      </c>
      <c r="P6" s="46">
        <f>+N6/E6%</f>
        <v>6.2079668888859025</v>
      </c>
      <c r="Q6" s="47"/>
      <c r="R6" s="2">
        <f t="shared" ref="R6:R12" si="0">+E6*W6</f>
        <v>9787484.4913471323</v>
      </c>
      <c r="S6" s="2">
        <v>6.1602465331600277E-2</v>
      </c>
      <c r="U6" s="2">
        <f t="shared" ref="U6:U12" si="1">+E6/($E$23-$E$19)*100</f>
        <v>10.662599739706145</v>
      </c>
      <c r="V6" s="58">
        <f t="shared" ref="V6:V12" si="2">+U6*$R$28/100</f>
        <v>9787484.4913471323</v>
      </c>
      <c r="W6" s="112">
        <f t="shared" ref="W6:W12" si="3">+V6/E6</f>
        <v>6.2079668888859026E-2</v>
      </c>
    </row>
    <row r="7" spans="1:23" ht="28">
      <c r="A7" s="30" t="s">
        <v>121</v>
      </c>
      <c r="B7" s="30" t="s">
        <v>70</v>
      </c>
      <c r="C7" s="25" t="s">
        <v>119</v>
      </c>
      <c r="D7" s="40" t="s">
        <v>120</v>
      </c>
      <c r="E7" s="31">
        <f>'PF PO Cal'!B14</f>
        <v>113221366.76682864</v>
      </c>
      <c r="F7" s="31">
        <f t="shared" ref="F7:F19" si="4">SUM(G7:H7)</f>
        <v>37740455.58894287</v>
      </c>
      <c r="G7" s="98">
        <f t="shared" ref="G7:G19" si="5">(E7/(1-$G$2))-E7</f>
        <v>37740455.58894287</v>
      </c>
      <c r="H7" s="31"/>
      <c r="I7" s="31">
        <f t="shared" ref="I7:I19" si="6">SUM(E7,F7)</f>
        <v>150961822.35577151</v>
      </c>
      <c r="J7" s="45">
        <f t="shared" ref="J7:J22" si="7">+E7/I7</f>
        <v>0.75</v>
      </c>
      <c r="K7" s="31"/>
      <c r="L7" s="31">
        <f t="shared" ref="L7:M19" si="8">+E7-N7</f>
        <v>106192621.80679986</v>
      </c>
      <c r="M7" s="31">
        <f t="shared" si="8"/>
        <v>35397540.60226661</v>
      </c>
      <c r="N7" s="35">
        <f t="shared" ref="N7:N18" si="9">+R7</f>
        <v>7028744.960028789</v>
      </c>
      <c r="O7" s="31">
        <f t="shared" ref="O7:O19" si="10">+F7*(N7/E7)</f>
        <v>2342914.9866762622</v>
      </c>
      <c r="P7" s="46">
        <f t="shared" ref="P7:P22" si="11">+N7/E7%</f>
        <v>6.2079668888859016</v>
      </c>
      <c r="Q7" s="47"/>
      <c r="R7" s="2">
        <f t="shared" si="0"/>
        <v>7028744.960028789</v>
      </c>
      <c r="S7" s="2">
        <v>6.1602465331600277E-2</v>
      </c>
      <c r="U7" s="2">
        <f t="shared" si="1"/>
        <v>7.657196723787461</v>
      </c>
      <c r="V7" s="58">
        <f t="shared" si="2"/>
        <v>7028744.960028789</v>
      </c>
      <c r="W7" s="78">
        <f t="shared" si="3"/>
        <v>6.2079668888859026E-2</v>
      </c>
    </row>
    <row r="8" spans="1:23" ht="42">
      <c r="A8" s="30" t="s">
        <v>122</v>
      </c>
      <c r="B8" s="30" t="s">
        <v>70</v>
      </c>
      <c r="C8" s="25" t="s">
        <v>119</v>
      </c>
      <c r="D8" s="40" t="s">
        <v>120</v>
      </c>
      <c r="E8" s="31">
        <f>'PF PO Cal'!B18</f>
        <v>153454728.23323652</v>
      </c>
      <c r="F8" s="31">
        <f t="shared" si="4"/>
        <v>51151576.077745497</v>
      </c>
      <c r="G8" s="98">
        <f t="shared" si="5"/>
        <v>51151576.077745497</v>
      </c>
      <c r="H8" s="31"/>
      <c r="I8" s="31">
        <f t="shared" si="6"/>
        <v>204606304.31098202</v>
      </c>
      <c r="J8" s="45">
        <f t="shared" si="7"/>
        <v>0.75</v>
      </c>
      <c r="K8" s="31"/>
      <c r="L8" s="31">
        <f t="shared" si="8"/>
        <v>143928309.51508737</v>
      </c>
      <c r="M8" s="31">
        <f t="shared" si="8"/>
        <v>47976103.171695776</v>
      </c>
      <c r="N8" s="35">
        <f t="shared" si="9"/>
        <v>9526418.7181491703</v>
      </c>
      <c r="O8" s="31">
        <f t="shared" si="10"/>
        <v>3175472.9060497228</v>
      </c>
      <c r="P8" s="46">
        <f t="shared" si="11"/>
        <v>6.2079668888859025</v>
      </c>
      <c r="Q8" s="47"/>
      <c r="R8" s="2">
        <f t="shared" si="0"/>
        <v>9526418.7181491703</v>
      </c>
      <c r="S8" s="2">
        <v>6.1602465331600277E-2</v>
      </c>
      <c r="U8" s="2">
        <f t="shared" si="1"/>
        <v>10.378191642016924</v>
      </c>
      <c r="V8" s="58">
        <f t="shared" si="2"/>
        <v>9526418.7181491703</v>
      </c>
      <c r="W8" s="78">
        <f t="shared" si="3"/>
        <v>6.2079668888859026E-2</v>
      </c>
    </row>
    <row r="9" spans="1:23" ht="28">
      <c r="A9" s="30" t="s">
        <v>123</v>
      </c>
      <c r="B9" s="30" t="s">
        <v>70</v>
      </c>
      <c r="C9" s="25" t="s">
        <v>119</v>
      </c>
      <c r="D9" s="40" t="s">
        <v>120</v>
      </c>
      <c r="E9" s="31">
        <f>'PF PO Cal'!B27</f>
        <v>351694524.11367857</v>
      </c>
      <c r="F9" s="31">
        <f t="shared" si="4"/>
        <v>117231508.03789288</v>
      </c>
      <c r="G9" s="98">
        <f t="shared" si="5"/>
        <v>117231508.03789288</v>
      </c>
      <c r="H9" s="31"/>
      <c r="I9" s="31">
        <f t="shared" si="6"/>
        <v>468926032.15157145</v>
      </c>
      <c r="J9" s="45">
        <f t="shared" si="7"/>
        <v>0.75</v>
      </c>
      <c r="K9" s="31"/>
      <c r="L9" s="31">
        <f t="shared" si="8"/>
        <v>329861444.50667655</v>
      </c>
      <c r="M9" s="31">
        <f t="shared" si="8"/>
        <v>109953814.83555888</v>
      </c>
      <c r="N9" s="35">
        <f t="shared" si="9"/>
        <v>21833079.607002016</v>
      </c>
      <c r="O9" s="31">
        <f t="shared" si="10"/>
        <v>7277693.2023340072</v>
      </c>
      <c r="P9" s="46">
        <f t="shared" si="11"/>
        <v>6.2079668888859043</v>
      </c>
      <c r="Q9" s="47"/>
      <c r="R9" s="2">
        <f t="shared" si="0"/>
        <v>21833079.607002016</v>
      </c>
      <c r="S9" s="2">
        <v>6.1602465331600277E-2</v>
      </c>
      <c r="U9" s="2">
        <f t="shared" si="1"/>
        <v>23.785211526047728</v>
      </c>
      <c r="V9" s="58">
        <f t="shared" si="2"/>
        <v>21833079.607002016</v>
      </c>
      <c r="W9" s="78">
        <f t="shared" si="3"/>
        <v>6.2079668888859039E-2</v>
      </c>
    </row>
    <row r="10" spans="1:23" ht="28">
      <c r="A10" s="30" t="s">
        <v>124</v>
      </c>
      <c r="B10" s="30" t="s">
        <v>70</v>
      </c>
      <c r="C10" s="25" t="s">
        <v>119</v>
      </c>
      <c r="D10" s="40" t="s">
        <v>120</v>
      </c>
      <c r="E10" s="31">
        <f>'PF PO Cal'!B34</f>
        <v>70409581.075260013</v>
      </c>
      <c r="F10" s="31">
        <f t="shared" si="4"/>
        <v>23469860.358419999</v>
      </c>
      <c r="G10" s="98">
        <f t="shared" si="5"/>
        <v>23469860.358419999</v>
      </c>
      <c r="H10" s="31"/>
      <c r="I10" s="31">
        <f t="shared" si="6"/>
        <v>93879441.433680013</v>
      </c>
      <c r="J10" s="45">
        <f t="shared" si="7"/>
        <v>0.75</v>
      </c>
      <c r="K10" s="31"/>
      <c r="L10" s="31">
        <f t="shared" si="8"/>
        <v>66038577.595504597</v>
      </c>
      <c r="M10" s="31">
        <f t="shared" si="8"/>
        <v>22012859.198501527</v>
      </c>
      <c r="N10" s="35">
        <f t="shared" si="9"/>
        <v>4371003.4797554156</v>
      </c>
      <c r="O10" s="31">
        <f t="shared" si="10"/>
        <v>1457001.1599184717</v>
      </c>
      <c r="P10" s="46">
        <f t="shared" si="11"/>
        <v>6.2079668888859016</v>
      </c>
      <c r="Q10" s="47"/>
      <c r="R10" s="2">
        <f t="shared" si="0"/>
        <v>4371003.4797554156</v>
      </c>
      <c r="S10" s="2">
        <v>6.1602465331600277E-2</v>
      </c>
      <c r="T10" s="84">
        <f>+N10/E10</f>
        <v>6.2079668888859019E-2</v>
      </c>
      <c r="U10" s="2">
        <f t="shared" si="1"/>
        <v>4.7618221624461494</v>
      </c>
      <c r="V10" s="58">
        <f t="shared" si="2"/>
        <v>4371003.4797554156</v>
      </c>
      <c r="W10" s="78">
        <f t="shared" si="3"/>
        <v>6.2079668888859019E-2</v>
      </c>
    </row>
    <row r="11" spans="1:23" ht="56">
      <c r="A11" s="30" t="s">
        <v>125</v>
      </c>
      <c r="B11" s="30" t="s">
        <v>70</v>
      </c>
      <c r="C11" s="25" t="s">
        <v>119</v>
      </c>
      <c r="D11" s="40" t="s">
        <v>120</v>
      </c>
      <c r="E11" s="31">
        <f>'PF PO Cal'!B38</f>
        <v>243368422.84798074</v>
      </c>
      <c r="F11" s="31">
        <f t="shared" si="4"/>
        <v>81122807.615993559</v>
      </c>
      <c r="G11" s="98">
        <f t="shared" si="5"/>
        <v>81122807.615993559</v>
      </c>
      <c r="H11" s="31"/>
      <c r="I11" s="31">
        <f t="shared" si="6"/>
        <v>324491230.4639743</v>
      </c>
      <c r="J11" s="45">
        <f t="shared" si="7"/>
        <v>0.75</v>
      </c>
      <c r="K11" s="31"/>
      <c r="L11" s="31">
        <f t="shared" si="8"/>
        <v>228260191.73957425</v>
      </c>
      <c r="M11" s="31">
        <f t="shared" si="8"/>
        <v>76086730.579858065</v>
      </c>
      <c r="N11" s="35">
        <f t="shared" si="9"/>
        <v>15108231.108406477</v>
      </c>
      <c r="O11" s="31">
        <f t="shared" si="10"/>
        <v>5036077.036135491</v>
      </c>
      <c r="P11" s="46">
        <f t="shared" si="11"/>
        <v>6.2079668888859025</v>
      </c>
      <c r="Q11" s="47"/>
      <c r="R11" s="2">
        <f t="shared" si="0"/>
        <v>15108231.108406477</v>
      </c>
      <c r="S11" s="2">
        <v>6.1602465331600277E-2</v>
      </c>
      <c r="U11" s="2">
        <f t="shared" si="1"/>
        <v>16.459083151174692</v>
      </c>
      <c r="V11" s="58">
        <f t="shared" si="2"/>
        <v>15108231.108406477</v>
      </c>
      <c r="W11" s="78">
        <f t="shared" si="3"/>
        <v>6.2079668888859019E-2</v>
      </c>
    </row>
    <row r="12" spans="1:23" ht="42">
      <c r="A12" s="30" t="s">
        <v>126</v>
      </c>
      <c r="B12" s="30" t="s">
        <v>70</v>
      </c>
      <c r="C12" s="25" t="s">
        <v>119</v>
      </c>
      <c r="D12" s="40" t="s">
        <v>120</v>
      </c>
      <c r="E12" s="31">
        <f>'PF PO Cal'!B47</f>
        <v>167640241.00122437</v>
      </c>
      <c r="F12" s="31">
        <f t="shared" si="4"/>
        <v>55880080.333741456</v>
      </c>
      <c r="G12" s="98">
        <f t="shared" si="5"/>
        <v>55880080.333741456</v>
      </c>
      <c r="H12" s="31"/>
      <c r="I12" s="31">
        <f t="shared" si="6"/>
        <v>223520321.33496583</v>
      </c>
      <c r="J12" s="45">
        <f t="shared" si="7"/>
        <v>0.75</v>
      </c>
      <c r="K12" s="31"/>
      <c r="L12" s="31">
        <f t="shared" si="8"/>
        <v>157233190.34741983</v>
      </c>
      <c r="M12" s="31">
        <f t="shared" si="8"/>
        <v>52411063.449139945</v>
      </c>
      <c r="N12" s="35">
        <f t="shared" si="9"/>
        <v>10407050.653804539</v>
      </c>
      <c r="O12" s="31">
        <f t="shared" si="10"/>
        <v>3469016.8846015129</v>
      </c>
      <c r="P12" s="46">
        <f t="shared" si="11"/>
        <v>6.2079668888859025</v>
      </c>
      <c r="Q12" s="47"/>
      <c r="R12" s="2">
        <f t="shared" si="0"/>
        <v>10407050.653804539</v>
      </c>
      <c r="S12" s="2">
        <v>6.1602465331600277E-2</v>
      </c>
      <c r="U12" s="2">
        <f t="shared" si="1"/>
        <v>11.337562342036644</v>
      </c>
      <c r="V12" s="58">
        <f t="shared" si="2"/>
        <v>10407050.653804539</v>
      </c>
      <c r="W12" s="78">
        <f t="shared" si="3"/>
        <v>6.2079668888859033E-2</v>
      </c>
    </row>
    <row r="13" spans="1:23" ht="56">
      <c r="A13" s="48" t="s">
        <v>127</v>
      </c>
      <c r="B13" s="48" t="s">
        <v>71</v>
      </c>
      <c r="C13" s="49" t="s">
        <v>119</v>
      </c>
      <c r="D13" s="50" t="s">
        <v>120</v>
      </c>
      <c r="E13" s="51">
        <f>'PF PO Cal'!H53</f>
        <v>126562500</v>
      </c>
      <c r="F13" s="51">
        <f t="shared" si="4"/>
        <v>42187500</v>
      </c>
      <c r="G13" s="99">
        <f t="shared" si="5"/>
        <v>42187500</v>
      </c>
      <c r="H13" s="51"/>
      <c r="I13" s="51">
        <f t="shared" si="6"/>
        <v>168750000</v>
      </c>
      <c r="J13" s="52">
        <f t="shared" si="7"/>
        <v>0.75</v>
      </c>
      <c r="K13" s="51"/>
      <c r="L13" s="51">
        <f t="shared" si="8"/>
        <v>118968750</v>
      </c>
      <c r="M13" s="51">
        <f t="shared" si="8"/>
        <v>39656250</v>
      </c>
      <c r="N13" s="35">
        <f t="shared" si="9"/>
        <v>7593750</v>
      </c>
      <c r="O13" s="51">
        <f t="shared" si="10"/>
        <v>2531250</v>
      </c>
      <c r="P13" s="53">
        <f t="shared" si="11"/>
        <v>6</v>
      </c>
      <c r="Q13" s="47"/>
      <c r="R13" s="53">
        <f>+E13*S13</f>
        <v>7593750</v>
      </c>
      <c r="S13" s="53">
        <v>0.06</v>
      </c>
      <c r="V13" s="58"/>
    </row>
    <row r="14" spans="1:23" ht="28">
      <c r="A14" s="30" t="s">
        <v>178</v>
      </c>
      <c r="B14" s="30" t="s">
        <v>70</v>
      </c>
      <c r="C14" s="25" t="s">
        <v>119</v>
      </c>
      <c r="D14" s="40" t="s">
        <v>120</v>
      </c>
      <c r="E14" s="31">
        <f>'PF PO Cal'!B61</f>
        <v>111736944.58729365</v>
      </c>
      <c r="F14" s="31">
        <f t="shared" si="4"/>
        <v>37245648.195764542</v>
      </c>
      <c r="G14" s="98">
        <f t="shared" si="5"/>
        <v>37245648.195764542</v>
      </c>
      <c r="H14" s="31"/>
      <c r="I14" s="31">
        <f t="shared" si="6"/>
        <v>148982592.7830582</v>
      </c>
      <c r="J14" s="45">
        <f t="shared" si="7"/>
        <v>0.75</v>
      </c>
      <c r="K14" s="31"/>
      <c r="L14" s="31">
        <f t="shared" si="8"/>
        <v>104800352.06466168</v>
      </c>
      <c r="M14" s="31">
        <f t="shared" si="8"/>
        <v>34933450.688220546</v>
      </c>
      <c r="N14" s="35">
        <f t="shared" si="9"/>
        <v>6936592.5226319777</v>
      </c>
      <c r="O14" s="31">
        <f t="shared" si="10"/>
        <v>2312197.5075439923</v>
      </c>
      <c r="P14" s="46">
        <f t="shared" si="11"/>
        <v>6.2079668888859008</v>
      </c>
      <c r="Q14" s="47"/>
      <c r="R14" s="2">
        <f>+E14*W14</f>
        <v>6936592.5226319777</v>
      </c>
      <c r="S14" s="2">
        <v>6.1602465331600277E-2</v>
      </c>
      <c r="U14" s="2">
        <f>+E14/($E$23-$E$19)*100</f>
        <v>7.5568047838697829</v>
      </c>
      <c r="V14" s="58">
        <f>+U14*$R$28/100</f>
        <v>6936592.5226319777</v>
      </c>
      <c r="W14" s="78">
        <f>+V14/E14</f>
        <v>6.2079668888859019E-2</v>
      </c>
    </row>
    <row r="15" spans="1:23" ht="28">
      <c r="A15" s="48" t="s">
        <v>179</v>
      </c>
      <c r="B15" s="48" t="s">
        <v>71</v>
      </c>
      <c r="C15" s="49" t="s">
        <v>119</v>
      </c>
      <c r="D15" s="50" t="s">
        <v>120</v>
      </c>
      <c r="E15" s="51">
        <f>'PF PO Cal'!H61</f>
        <v>50868750.000000007</v>
      </c>
      <c r="F15" s="51">
        <f t="shared" si="4"/>
        <v>16956250.000000007</v>
      </c>
      <c r="G15" s="99">
        <f t="shared" si="5"/>
        <v>16956250.000000007</v>
      </c>
      <c r="H15" s="51"/>
      <c r="I15" s="51">
        <f t="shared" si="6"/>
        <v>67825000.000000015</v>
      </c>
      <c r="J15" s="52">
        <f t="shared" si="7"/>
        <v>0.75</v>
      </c>
      <c r="K15" s="51"/>
      <c r="L15" s="51">
        <f t="shared" si="8"/>
        <v>47816625.000000007</v>
      </c>
      <c r="M15" s="51">
        <f t="shared" si="8"/>
        <v>15938875.000000007</v>
      </c>
      <c r="N15" s="35">
        <f t="shared" si="9"/>
        <v>3052125.0000000005</v>
      </c>
      <c r="O15" s="51">
        <f t="shared" si="10"/>
        <v>1017375.0000000005</v>
      </c>
      <c r="P15" s="53">
        <f t="shared" si="11"/>
        <v>6</v>
      </c>
      <c r="Q15" s="47"/>
      <c r="R15" s="53">
        <f>+E15*S15</f>
        <v>3052125.0000000005</v>
      </c>
      <c r="S15" s="53">
        <v>0.06</v>
      </c>
      <c r="V15" s="58"/>
    </row>
    <row r="16" spans="1:23" ht="42">
      <c r="A16" s="30" t="s">
        <v>180</v>
      </c>
      <c r="B16" s="30" t="s">
        <v>70</v>
      </c>
      <c r="C16" s="25" t="s">
        <v>119</v>
      </c>
      <c r="D16" s="40" t="s">
        <v>120</v>
      </c>
      <c r="E16" s="31">
        <f>'PF PO Cal'!B69</f>
        <v>109440979.31704275</v>
      </c>
      <c r="F16" s="31">
        <f t="shared" si="4"/>
        <v>36480326.439014241</v>
      </c>
      <c r="G16" s="98">
        <f t="shared" si="5"/>
        <v>36480326.439014241</v>
      </c>
      <c r="H16" s="31"/>
      <c r="I16" s="31">
        <f t="shared" si="6"/>
        <v>145921305.75605699</v>
      </c>
      <c r="J16" s="45">
        <f t="shared" si="7"/>
        <v>0.75</v>
      </c>
      <c r="K16" s="31"/>
      <c r="L16" s="31">
        <f t="shared" si="8"/>
        <v>102646919.55816826</v>
      </c>
      <c r="M16" s="31">
        <f>+F16-O16</f>
        <v>34215639.852722749</v>
      </c>
      <c r="N16" s="35">
        <f t="shared" si="9"/>
        <v>6794059.7588744834</v>
      </c>
      <c r="O16" s="31">
        <f t="shared" si="10"/>
        <v>2264686.5862914938</v>
      </c>
      <c r="P16" s="46">
        <f t="shared" si="11"/>
        <v>6.2079668888859034</v>
      </c>
      <c r="Q16" s="47"/>
      <c r="R16" s="2">
        <f>+E16*W16</f>
        <v>6794059.7588744834</v>
      </c>
      <c r="S16" s="2">
        <v>6.1602465331600277E-2</v>
      </c>
      <c r="U16" s="2">
        <f>+E16/($E$23-$E$19)*100</f>
        <v>7.4015279289144722</v>
      </c>
      <c r="V16" s="58">
        <f>+U16*$R$28/100</f>
        <v>6794059.7588744834</v>
      </c>
      <c r="W16" s="78">
        <f>+V16/E16</f>
        <v>6.2079668888859026E-2</v>
      </c>
    </row>
    <row r="17" spans="1:23" ht="42">
      <c r="A17" s="48" t="s">
        <v>181</v>
      </c>
      <c r="B17" s="48" t="s">
        <v>71</v>
      </c>
      <c r="C17" s="49" t="s">
        <v>119</v>
      </c>
      <c r="D17" s="50" t="s">
        <v>120</v>
      </c>
      <c r="E17" s="51">
        <f>'PF PO Cal'!H69</f>
        <v>64612500</v>
      </c>
      <c r="F17" s="51">
        <f t="shared" si="4"/>
        <v>21537500</v>
      </c>
      <c r="G17" s="99">
        <f t="shared" si="5"/>
        <v>21537500</v>
      </c>
      <c r="H17" s="51"/>
      <c r="I17" s="51">
        <f t="shared" si="6"/>
        <v>86150000</v>
      </c>
      <c r="J17" s="52">
        <f t="shared" si="7"/>
        <v>0.75</v>
      </c>
      <c r="K17" s="51"/>
      <c r="L17" s="51">
        <f t="shared" si="8"/>
        <v>60735750</v>
      </c>
      <c r="M17" s="51">
        <f t="shared" si="8"/>
        <v>20245250</v>
      </c>
      <c r="N17" s="35">
        <f t="shared" si="9"/>
        <v>3876750</v>
      </c>
      <c r="O17" s="51">
        <f t="shared" si="10"/>
        <v>1292250</v>
      </c>
      <c r="P17" s="53">
        <f t="shared" si="11"/>
        <v>6</v>
      </c>
      <c r="Q17" s="47"/>
      <c r="R17" s="53">
        <f>+E17*S17</f>
        <v>3876750</v>
      </c>
      <c r="S17" s="53">
        <v>0.06</v>
      </c>
      <c r="V17" s="58"/>
    </row>
    <row r="18" spans="1:23" ht="28">
      <c r="A18" s="48" t="s">
        <v>182</v>
      </c>
      <c r="B18" s="48" t="s">
        <v>71</v>
      </c>
      <c r="C18" s="49" t="s">
        <v>119</v>
      </c>
      <c r="D18" s="50" t="s">
        <v>120</v>
      </c>
      <c r="E18" s="51">
        <f>'PF PO Cal'!H75</f>
        <v>12296126.192500001</v>
      </c>
      <c r="F18" s="51">
        <f t="shared" si="4"/>
        <v>4098708.730833333</v>
      </c>
      <c r="G18" s="51">
        <f t="shared" si="5"/>
        <v>4098708.730833333</v>
      </c>
      <c r="H18" s="51"/>
      <c r="I18" s="51">
        <f t="shared" si="6"/>
        <v>16394834.923333334</v>
      </c>
      <c r="J18" s="52">
        <f t="shared" si="7"/>
        <v>0.75</v>
      </c>
      <c r="K18" s="51"/>
      <c r="L18" s="51">
        <f t="shared" si="8"/>
        <v>11558358.62095</v>
      </c>
      <c r="M18" s="51">
        <f t="shared" si="8"/>
        <v>3852786.206983333</v>
      </c>
      <c r="N18" s="35">
        <f t="shared" si="9"/>
        <v>737767.57154999999</v>
      </c>
      <c r="O18" s="51">
        <f t="shared" si="10"/>
        <v>245922.52384999997</v>
      </c>
      <c r="P18" s="53">
        <f t="shared" si="11"/>
        <v>5.9999999999999991</v>
      </c>
      <c r="Q18" s="47"/>
      <c r="R18" s="53">
        <f>+E18*S18</f>
        <v>737767.57154999999</v>
      </c>
      <c r="S18" s="53">
        <v>0.06</v>
      </c>
      <c r="V18" s="58"/>
    </row>
    <row r="19" spans="1:23" ht="28">
      <c r="A19" s="32" t="s">
        <v>183</v>
      </c>
      <c r="B19" s="32" t="s">
        <v>70</v>
      </c>
      <c r="C19" s="25" t="s">
        <v>119</v>
      </c>
      <c r="D19" s="40" t="s">
        <v>120</v>
      </c>
      <c r="E19" s="31">
        <f>'PF PO Cal'!B82</f>
        <v>51250904.792499997</v>
      </c>
      <c r="F19" s="31">
        <f t="shared" si="4"/>
        <v>17083634.930833332</v>
      </c>
      <c r="G19" s="31">
        <f t="shared" si="5"/>
        <v>17083634.930833332</v>
      </c>
      <c r="H19" s="31"/>
      <c r="I19" s="31">
        <f t="shared" si="6"/>
        <v>68334539.723333329</v>
      </c>
      <c r="J19" s="45">
        <f t="shared" si="7"/>
        <v>0.75</v>
      </c>
      <c r="K19" s="31"/>
      <c r="L19" s="31">
        <f t="shared" si="8"/>
        <v>51250904.792499997</v>
      </c>
      <c r="M19" s="31">
        <f t="shared" si="8"/>
        <v>17083634.930833332</v>
      </c>
      <c r="N19" s="35">
        <v>0</v>
      </c>
      <c r="O19" s="31">
        <f t="shared" si="10"/>
        <v>0</v>
      </c>
      <c r="P19" s="46">
        <v>0</v>
      </c>
      <c r="Q19" s="47"/>
      <c r="R19" s="2">
        <f t="shared" ref="R19" si="12">+E19*0.06</f>
        <v>3075054.2875499995</v>
      </c>
      <c r="S19" s="2">
        <v>0</v>
      </c>
      <c r="U19" s="2">
        <f>+E19/($E$23-$E$19)*100</f>
        <v>3.4661148462946287</v>
      </c>
      <c r="V19" s="58">
        <f t="shared" ref="V19:V20" si="13">+U19*$R$28/100</f>
        <v>3181639.1997728376</v>
      </c>
      <c r="W19" s="78">
        <f>+V19/E19</f>
        <v>6.2079668888859019E-2</v>
      </c>
    </row>
    <row r="20" spans="1:23" ht="28">
      <c r="A20" s="26" t="s">
        <v>81</v>
      </c>
      <c r="B20" s="26" t="s">
        <v>70</v>
      </c>
      <c r="C20" s="26" t="s">
        <v>119</v>
      </c>
      <c r="D20" s="26"/>
      <c r="E20" s="36">
        <f>+E7+E8+E9+E10+E11+E12+E14+E16+E19+E6</f>
        <v>1529877755.4662051</v>
      </c>
      <c r="F20" s="36">
        <f>+F7+F8+F9+F10+F11+F12+F14+F16+F19+F6</f>
        <v>509959251.82206833</v>
      </c>
      <c r="G20" s="36">
        <f>+G7+G8+G9+G10+G11+G12+G14+G16+G19+G6</f>
        <v>509959251.82206833</v>
      </c>
      <c r="H20" s="36">
        <f>+H7+H8+H9+H10+H11+H12+H14+H16+H19+H6</f>
        <v>0</v>
      </c>
      <c r="I20" s="36">
        <f>+I7+I8+I9+I10+I11+I12+I14+I16+I19+I6</f>
        <v>2039837007.2882733</v>
      </c>
      <c r="J20" s="45">
        <f t="shared" si="7"/>
        <v>0.75000000000000011</v>
      </c>
      <c r="K20" s="36">
        <f>+K7+K8+K9+K10+K11+K12+K14+K16+K19+K6</f>
        <v>0</v>
      </c>
      <c r="L20" s="36">
        <f>+L7+L8+L9+L10+L11+L12+L14+L16+L19+L6</f>
        <v>1438085090.1662049</v>
      </c>
      <c r="M20" s="36">
        <f>+M7+M8+M9+M10+M11+M12+M14+M16+M19+M6</f>
        <v>479361696.72206831</v>
      </c>
      <c r="N20" s="36">
        <f>+N7+N8+N9+N10+N11+N12+N14+N16+N19+N6</f>
        <v>91792665.299999982</v>
      </c>
      <c r="O20" s="36">
        <f>+O7+O8+O9+O10+O11+O12+O14+O16+O19+O6</f>
        <v>30597555.100000001</v>
      </c>
      <c r="P20" s="80">
        <f t="shared" si="11"/>
        <v>5.9999999981715977</v>
      </c>
      <c r="Q20" s="47"/>
      <c r="U20" s="2">
        <f>+E20/($E$23-$E$19)*100</f>
        <v>103.46611484629464</v>
      </c>
      <c r="V20" s="58">
        <f t="shared" si="13"/>
        <v>94974304.499772847</v>
      </c>
      <c r="W20" s="78">
        <f>+V20/E20</f>
        <v>6.2079668888859026E-2</v>
      </c>
    </row>
    <row r="21" spans="1:23" ht="28">
      <c r="A21" s="55" t="s">
        <v>59</v>
      </c>
      <c r="B21" s="55" t="s">
        <v>128</v>
      </c>
      <c r="C21" s="55" t="s">
        <v>119</v>
      </c>
      <c r="D21" s="55"/>
      <c r="E21" s="56">
        <f>SUM(E18,E17,E15,E13)</f>
        <v>254339876.1925</v>
      </c>
      <c r="F21" s="56">
        <f>SUM(F18,F17,F15,F13)</f>
        <v>84779958.730833337</v>
      </c>
      <c r="G21" s="56">
        <f>SUM(G18,G17,G15,G13)</f>
        <v>84779958.730833337</v>
      </c>
      <c r="H21" s="56">
        <f>SUM(H18,H17,H15,H13)</f>
        <v>0</v>
      </c>
      <c r="I21" s="56">
        <f>SUM(I18,I17,I15,I13)</f>
        <v>339119834.92333335</v>
      </c>
      <c r="J21" s="57">
        <f t="shared" si="7"/>
        <v>0.75</v>
      </c>
      <c r="K21" s="56">
        <f>SUM(K18,K17,K15,K13)</f>
        <v>0</v>
      </c>
      <c r="L21" s="56">
        <f>SUM(L18,L17,L15,L13)</f>
        <v>239079483.62095001</v>
      </c>
      <c r="M21" s="56">
        <f>SUM(M18,M17,M15,M13)</f>
        <v>79693161.206983343</v>
      </c>
      <c r="N21" s="109">
        <f>SUM(N18,N17,N15,N13)</f>
        <v>15260392.57155</v>
      </c>
      <c r="O21" s="56">
        <f>SUM(O18,O17,O15,O13)</f>
        <v>5086797.5238500005</v>
      </c>
      <c r="P21" s="81">
        <f t="shared" si="11"/>
        <v>6.0000000000000009</v>
      </c>
      <c r="Q21" s="47"/>
      <c r="R21" s="53"/>
      <c r="S21" s="53"/>
      <c r="V21" s="58"/>
    </row>
    <row r="22" spans="1:23">
      <c r="A22" s="26" t="s">
        <v>129</v>
      </c>
      <c r="B22" s="26"/>
      <c r="C22" s="26"/>
      <c r="D22" s="26"/>
      <c r="E22" s="36">
        <f>SUM(E20:E21)</f>
        <v>1784217631.6587052</v>
      </c>
      <c r="F22" s="36">
        <f t="shared" ref="F22:G22" si="14">SUM(F20:F21)</f>
        <v>594739210.55290163</v>
      </c>
      <c r="G22" s="36">
        <f t="shared" si="14"/>
        <v>594739210.55290163</v>
      </c>
      <c r="H22" s="36">
        <f>SUM(H20:H21)</f>
        <v>0</v>
      </c>
      <c r="I22" s="36">
        <f>SUM(I20:I21)</f>
        <v>2378956842.2116065</v>
      </c>
      <c r="J22" s="54">
        <f t="shared" si="7"/>
        <v>0.75000000000000011</v>
      </c>
      <c r="K22" s="36">
        <f>SUM(K20:K21)</f>
        <v>0</v>
      </c>
      <c r="L22" s="36">
        <f>SUM(L20:L21)</f>
        <v>1677164573.7871549</v>
      </c>
      <c r="M22" s="36">
        <f>SUM(M20:M21)</f>
        <v>559054857.92905164</v>
      </c>
      <c r="N22" s="109">
        <f>SUM(N20:N21)</f>
        <v>107053057.87154998</v>
      </c>
      <c r="O22" s="36">
        <f>SUM(O20:O21)</f>
        <v>35684352.623850003</v>
      </c>
      <c r="P22" s="80">
        <f t="shared" si="11"/>
        <v>5.9999999984322345</v>
      </c>
      <c r="Q22" s="47"/>
      <c r="U22" s="2">
        <f>+E22/($E$23-$E$19)*100</f>
        <v>120.66720084555239</v>
      </c>
      <c r="V22" s="58">
        <f>+U22*$R$28/100</f>
        <v>110763639.79903668</v>
      </c>
      <c r="W22" s="78">
        <f>+V22/E22</f>
        <v>6.2079668888859039E-2</v>
      </c>
    </row>
    <row r="23" spans="1:23">
      <c r="E23" s="58">
        <f>+'PF PO Cal'!B83</f>
        <v>1529877755.4662049</v>
      </c>
      <c r="R23" s="77">
        <f>R26*0.06</f>
        <v>91792665.299999997</v>
      </c>
    </row>
    <row r="24" spans="1:23" ht="16">
      <c r="A24" s="3"/>
      <c r="E24" s="58">
        <f>+'PF PO Cal'!H83</f>
        <v>254339876</v>
      </c>
      <c r="R24" s="58">
        <f>+E20-E19</f>
        <v>1478626850.6737051</v>
      </c>
    </row>
    <row r="25" spans="1:23">
      <c r="A25" s="4" t="s">
        <v>82</v>
      </c>
      <c r="B25" s="5" t="s">
        <v>130</v>
      </c>
      <c r="R25" s="78">
        <f>+R23/R24</f>
        <v>6.2079668888859019E-2</v>
      </c>
    </row>
    <row r="26" spans="1:23">
      <c r="A26" s="4" t="s">
        <v>84</v>
      </c>
      <c r="B26" s="5" t="s">
        <v>131</v>
      </c>
      <c r="R26" s="79">
        <v>1529877755</v>
      </c>
    </row>
    <row r="27" spans="1:23">
      <c r="A27" s="4" t="s">
        <v>132</v>
      </c>
      <c r="B27" s="5" t="s">
        <v>133</v>
      </c>
      <c r="R27" s="58">
        <f>+E20-E19</f>
        <v>1478626850.6737051</v>
      </c>
    </row>
    <row r="28" spans="1:23">
      <c r="A28" s="4" t="s">
        <v>134</v>
      </c>
      <c r="B28" s="5" t="s">
        <v>135</v>
      </c>
      <c r="R28" s="2">
        <f>+R26*0.06</f>
        <v>91792665.299999997</v>
      </c>
    </row>
    <row r="29" spans="1:23">
      <c r="A29" s="4" t="s">
        <v>136</v>
      </c>
      <c r="B29" s="5" t="s">
        <v>137</v>
      </c>
    </row>
    <row r="30" spans="1:23">
      <c r="A30" s="4" t="s">
        <v>138</v>
      </c>
      <c r="B30" s="5" t="s">
        <v>135</v>
      </c>
    </row>
    <row r="31" spans="1:23">
      <c r="A31" s="4" t="s">
        <v>139</v>
      </c>
      <c r="B31" s="5" t="s">
        <v>135</v>
      </c>
    </row>
    <row r="32" spans="1:23">
      <c r="A32" s="4" t="s">
        <v>140</v>
      </c>
      <c r="B32" s="5" t="s">
        <v>141</v>
      </c>
    </row>
  </sheetData>
  <mergeCells count="11">
    <mergeCell ref="G3:H3"/>
    <mergeCell ref="A3:A4"/>
    <mergeCell ref="B3:B4"/>
    <mergeCell ref="C3:C4"/>
    <mergeCell ref="E3:E4"/>
    <mergeCell ref="F3:F4"/>
    <mergeCell ref="P3:P4"/>
    <mergeCell ref="I3:I4"/>
    <mergeCell ref="J3:J4"/>
    <mergeCell ref="L3:M3"/>
    <mergeCell ref="N3:O3"/>
  </mergeCells>
  <phoneticPr fontId="2" type="noConversion"/>
  <hyperlinks>
    <hyperlink ref="A25" location="_ftnref1" display="_ftnref1"/>
    <hyperlink ref="A26" location="_ftnref2" display="_ftnref2"/>
    <hyperlink ref="A27" location="_ftnref3" display="_ftnref3"/>
    <hyperlink ref="A28" location="_ftnref4" display="_ftnref4"/>
    <hyperlink ref="A29" location="_ftnref5" display="_ftnref5"/>
    <hyperlink ref="A30" location="_ftnref6" display="_ftnref6"/>
    <hyperlink ref="A31" location="_ftnref7" display="_ftnref7"/>
    <hyperlink ref="A32" location="_ftnref8" display="_ftnref8"/>
  </hyperlinks>
  <pageMargins left="0.70866141732283472" right="0.70866141732283472" top="0.74803149606299213" bottom="0.74803149606299213" header="0.31496062992125984" footer="0.31496062992125984"/>
  <pageSetup paperSize="9" scale="53" orientation="landscape"/>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20"/>
  <sheetViews>
    <sheetView topLeftCell="A3" workbookViewId="0">
      <selection activeCell="G15" sqref="G15"/>
    </sheetView>
  </sheetViews>
  <sheetFormatPr baseColWidth="10" defaultColWidth="8.83203125" defaultRowHeight="14" x14ac:dyDescent="0"/>
  <cols>
    <col min="1" max="1" width="29.6640625" style="2" customWidth="1"/>
    <col min="2" max="2" width="6.83203125" style="102" customWidth="1"/>
    <col min="3" max="3" width="14.83203125" style="2" customWidth="1"/>
    <col min="4" max="4" width="64.83203125" style="2" customWidth="1"/>
    <col min="5" max="5" width="12.83203125" style="2" customWidth="1"/>
    <col min="6" max="6" width="13.6640625" style="2" customWidth="1"/>
    <col min="7" max="7" width="12.83203125" style="2" customWidth="1"/>
    <col min="8" max="8" width="11" style="2" bestFit="1" customWidth="1"/>
    <col min="9" max="16384" width="8.83203125" style="2"/>
  </cols>
  <sheetData>
    <row r="1" spans="1:8">
      <c r="E1" s="85">
        <v>0.75</v>
      </c>
      <c r="F1" s="85">
        <v>0.25</v>
      </c>
    </row>
    <row r="2" spans="1:8">
      <c r="A2" s="27" t="s">
        <v>143</v>
      </c>
      <c r="B2" s="1" t="s">
        <v>144</v>
      </c>
    </row>
    <row r="3" spans="1:8" ht="28">
      <c r="A3" s="12" t="s">
        <v>90</v>
      </c>
      <c r="B3" s="28" t="s">
        <v>142</v>
      </c>
      <c r="C3" s="12" t="s">
        <v>74</v>
      </c>
      <c r="D3" s="12" t="s">
        <v>145</v>
      </c>
      <c r="E3" s="29" t="s">
        <v>93</v>
      </c>
      <c r="F3" s="29" t="s">
        <v>94</v>
      </c>
      <c r="G3" s="29" t="s">
        <v>96</v>
      </c>
    </row>
    <row r="4" spans="1:8" ht="28">
      <c r="A4" s="30" t="str">
        <f>'Tab. 18.a'!A6</f>
        <v>Asse Prioritario 1 - Promozione della Ricerca e dell'innovazione</v>
      </c>
      <c r="B4" s="103" t="s">
        <v>70</v>
      </c>
      <c r="C4" s="25" t="s">
        <v>78</v>
      </c>
      <c r="D4" s="30" t="s">
        <v>146</v>
      </c>
      <c r="E4" s="31">
        <f>'Tab. 18.a'!E6</f>
        <v>157660062.73115963</v>
      </c>
      <c r="F4" s="31">
        <f>(E4/(1-$F$1))-E4</f>
        <v>52553354.243719876</v>
      </c>
      <c r="G4" s="31">
        <f>SUM(E4:F4)</f>
        <v>210213416.9748795</v>
      </c>
      <c r="H4" s="84"/>
    </row>
    <row r="5" spans="1:8" ht="28">
      <c r="A5" s="30" t="str">
        <f>'Tab. 18.a'!A7</f>
        <v>Asse Prioritario 2 – Sviluppo dell’Agenda digitale</v>
      </c>
      <c r="B5" s="103" t="s">
        <v>70</v>
      </c>
      <c r="C5" s="25" t="s">
        <v>78</v>
      </c>
      <c r="D5" s="30" t="s">
        <v>147</v>
      </c>
      <c r="E5" s="31">
        <f>'Tab. 18.a'!E7</f>
        <v>113221366.76682864</v>
      </c>
      <c r="F5" s="31">
        <f t="shared" ref="F5:F17" si="0">(E5/(1-$F$1))-E5</f>
        <v>37740455.58894287</v>
      </c>
      <c r="G5" s="31">
        <f t="shared" ref="G5:G18" si="1">SUM(E5:F5)</f>
        <v>150961822.35577151</v>
      </c>
    </row>
    <row r="6" spans="1:8" ht="28">
      <c r="A6" s="30" t="str">
        <f>'Tab. 18.a'!A8</f>
        <v>Asse Prioritario 3 – Competitività dei sistemi produttivi</v>
      </c>
      <c r="B6" s="103" t="s">
        <v>70</v>
      </c>
      <c r="C6" s="25" t="s">
        <v>78</v>
      </c>
      <c r="D6" s="30" t="s">
        <v>148</v>
      </c>
      <c r="E6" s="31">
        <f>'Tab. 18.a'!E8</f>
        <v>153454728.23323652</v>
      </c>
      <c r="F6" s="31">
        <f t="shared" si="0"/>
        <v>51151576.077745497</v>
      </c>
      <c r="G6" s="31">
        <f t="shared" si="1"/>
        <v>204606304.31098202</v>
      </c>
    </row>
    <row r="7" spans="1:8" ht="28">
      <c r="A7" s="30" t="str">
        <f>'Tab. 18.a'!A9</f>
        <v>Asse Prioritario 4 – Efficienza energetica</v>
      </c>
      <c r="B7" s="103" t="s">
        <v>70</v>
      </c>
      <c r="C7" s="25" t="s">
        <v>78</v>
      </c>
      <c r="D7" s="30" t="s">
        <v>149</v>
      </c>
      <c r="E7" s="31">
        <f>'Tab. 18.a'!E9</f>
        <v>351694524.11367857</v>
      </c>
      <c r="F7" s="31">
        <f t="shared" si="0"/>
        <v>117231508.03789288</v>
      </c>
      <c r="G7" s="31">
        <f t="shared" si="1"/>
        <v>468926032.15157145</v>
      </c>
    </row>
    <row r="8" spans="1:8" ht="28">
      <c r="A8" s="30" t="str">
        <f>'Tab. 18.a'!A10</f>
        <v>Asse Prioritario 5 - Prevenzione dei rischi</v>
      </c>
      <c r="B8" s="103" t="s">
        <v>70</v>
      </c>
      <c r="C8" s="25" t="s">
        <v>78</v>
      </c>
      <c r="D8" s="30" t="s">
        <v>150</v>
      </c>
      <c r="E8" s="31">
        <f>'Tab. 18.a'!E10</f>
        <v>70409581.075260013</v>
      </c>
      <c r="F8" s="31">
        <f t="shared" si="0"/>
        <v>23469860.358419999</v>
      </c>
      <c r="G8" s="31">
        <f t="shared" si="1"/>
        <v>93879441.433680013</v>
      </c>
    </row>
    <row r="9" spans="1:8" ht="42">
      <c r="A9" s="30" t="str">
        <f>'Tab. 18.a'!A11</f>
        <v>Asse Prioritario 6 – Tutela e valorizzazione del patrimonio ambientale e culturale</v>
      </c>
      <c r="B9" s="103" t="s">
        <v>70</v>
      </c>
      <c r="C9" s="25" t="s">
        <v>78</v>
      </c>
      <c r="D9" s="30" t="s">
        <v>151</v>
      </c>
      <c r="E9" s="31">
        <f>'Tab. 18.a'!E11</f>
        <v>243368422.84798074</v>
      </c>
      <c r="F9" s="31">
        <f t="shared" si="0"/>
        <v>81122807.615993559</v>
      </c>
      <c r="G9" s="31">
        <f t="shared" si="1"/>
        <v>324491230.4639743</v>
      </c>
    </row>
    <row r="10" spans="1:8" ht="28">
      <c r="A10" s="30" t="str">
        <f>'Tab. 18.a'!A12</f>
        <v>Asse Prioritario 7 – Sviluppo delle reti di mobilità sostenibile</v>
      </c>
      <c r="B10" s="103" t="s">
        <v>70</v>
      </c>
      <c r="C10" s="25" t="s">
        <v>78</v>
      </c>
      <c r="D10" s="30" t="s">
        <v>152</v>
      </c>
      <c r="E10" s="31">
        <f>'Tab. 18.a'!E12</f>
        <v>167640241.00122437</v>
      </c>
      <c r="F10" s="31">
        <f t="shared" si="0"/>
        <v>55880080.333741456</v>
      </c>
      <c r="G10" s="31">
        <f t="shared" si="1"/>
        <v>223520321.33496583</v>
      </c>
    </row>
    <row r="11" spans="1:8" ht="28">
      <c r="A11" s="30" t="str">
        <f>'Tab. 18.a'!A13</f>
        <v>Asse Prioritario 8 – Promozione dell’occupazione sostenibile e di qualità</v>
      </c>
      <c r="B11" s="103" t="s">
        <v>71</v>
      </c>
      <c r="C11" s="25" t="s">
        <v>78</v>
      </c>
      <c r="D11" s="30" t="s">
        <v>153</v>
      </c>
      <c r="E11" s="31">
        <f>'Tab. 18.a'!E13</f>
        <v>126562500</v>
      </c>
      <c r="F11" s="31">
        <f t="shared" si="0"/>
        <v>42187500</v>
      </c>
      <c r="G11" s="31">
        <f t="shared" si="1"/>
        <v>168750000</v>
      </c>
    </row>
    <row r="12" spans="1:8" ht="28">
      <c r="A12" s="30" t="str">
        <f>'Tab. 18.a'!A14</f>
        <v>Asse Prioritario 9 – Inclusione sociale (FESR)</v>
      </c>
      <c r="B12" s="103" t="s">
        <v>70</v>
      </c>
      <c r="C12" s="25" t="s">
        <v>78</v>
      </c>
      <c r="D12" s="30" t="s">
        <v>154</v>
      </c>
      <c r="E12" s="31">
        <f>'Tab. 18.a'!E14</f>
        <v>111736944.58729365</v>
      </c>
      <c r="F12" s="31">
        <f t="shared" si="0"/>
        <v>37245648.195764542</v>
      </c>
      <c r="G12" s="31">
        <f t="shared" si="1"/>
        <v>148982592.7830582</v>
      </c>
    </row>
    <row r="13" spans="1:8" ht="28">
      <c r="A13" s="30" t="str">
        <f>'Tab. 18.a'!A15</f>
        <v>Asse Prioritario 10  – Inclusione sociale (FSE)</v>
      </c>
      <c r="B13" s="103" t="s">
        <v>71</v>
      </c>
      <c r="C13" s="25" t="s">
        <v>78</v>
      </c>
      <c r="D13" s="30" t="s">
        <v>154</v>
      </c>
      <c r="E13" s="31">
        <f>'Tab. 18.a'!E15</f>
        <v>50868750.000000007</v>
      </c>
      <c r="F13" s="31">
        <f t="shared" si="0"/>
        <v>16956250.000000007</v>
      </c>
      <c r="G13" s="31">
        <f t="shared" si="1"/>
        <v>67825000.000000015</v>
      </c>
    </row>
    <row r="14" spans="1:8" ht="28">
      <c r="A14" s="30" t="str">
        <f>'Tab. 18.a'!A16</f>
        <v>Asse Prioritario 11 – Istruzione e formazione (FESR)</v>
      </c>
      <c r="B14" s="103" t="s">
        <v>70</v>
      </c>
      <c r="C14" s="25" t="s">
        <v>78</v>
      </c>
      <c r="D14" s="30" t="s">
        <v>155</v>
      </c>
      <c r="E14" s="31">
        <f>'Tab. 18.a'!E16</f>
        <v>109440979.31704275</v>
      </c>
      <c r="F14" s="31">
        <f t="shared" si="0"/>
        <v>36480326.439014241</v>
      </c>
      <c r="G14" s="31">
        <f t="shared" si="1"/>
        <v>145921305.75605699</v>
      </c>
    </row>
    <row r="15" spans="1:8" ht="28">
      <c r="A15" s="30" t="str">
        <f>'Tab. 18.a'!A17</f>
        <v>Asse Prioritario 12 – Istruzione e formazione (FSE)</v>
      </c>
      <c r="B15" s="103" t="s">
        <v>71</v>
      </c>
      <c r="C15" s="25" t="s">
        <v>78</v>
      </c>
      <c r="D15" s="30" t="s">
        <v>155</v>
      </c>
      <c r="E15" s="31">
        <f>'Tab. 18.a'!E17</f>
        <v>64612500</v>
      </c>
      <c r="F15" s="31">
        <f t="shared" si="0"/>
        <v>21537500</v>
      </c>
      <c r="G15" s="31">
        <f t="shared" si="1"/>
        <v>86150000</v>
      </c>
    </row>
    <row r="16" spans="1:8" ht="28">
      <c r="A16" s="30" t="str">
        <f>'Tab. 18.a'!A18</f>
        <v>Asse Prioritario 13 – Capacità istituzionale</v>
      </c>
      <c r="B16" s="103" t="s">
        <v>71</v>
      </c>
      <c r="C16" s="25" t="s">
        <v>78</v>
      </c>
      <c r="D16" s="32" t="s">
        <v>156</v>
      </c>
      <c r="E16" s="31">
        <f>'Tab. 18.a'!E18</f>
        <v>12296126.192500001</v>
      </c>
      <c r="F16" s="31">
        <f t="shared" si="0"/>
        <v>4098708.730833333</v>
      </c>
      <c r="G16" s="31">
        <f t="shared" si="1"/>
        <v>16394834.923333334</v>
      </c>
    </row>
    <row r="17" spans="1:7" ht="28">
      <c r="A17" s="30" t="str">
        <f>'Tab. 18.a'!A19</f>
        <v>Asse Prioritario 14 -  Assistenza Tecnica</v>
      </c>
      <c r="B17" s="104" t="s">
        <v>70</v>
      </c>
      <c r="C17" s="34" t="s">
        <v>78</v>
      </c>
      <c r="D17" s="33"/>
      <c r="E17" s="31">
        <f>'Tab. 18.a'!E19</f>
        <v>51250904.792499997</v>
      </c>
      <c r="F17" s="31">
        <f t="shared" si="0"/>
        <v>17083634.930833332</v>
      </c>
      <c r="G17" s="35">
        <f t="shared" si="1"/>
        <v>68334539.723333329</v>
      </c>
    </row>
    <row r="18" spans="1:7" ht="20" customHeight="1">
      <c r="A18" s="11" t="s">
        <v>59</v>
      </c>
      <c r="B18" s="97"/>
      <c r="C18" s="11"/>
      <c r="D18" s="11"/>
      <c r="E18" s="36">
        <f>SUM(E4:E17)</f>
        <v>1784217631.658705</v>
      </c>
      <c r="F18" s="36">
        <f>SUM(F4:F17)</f>
        <v>594739210.55290151</v>
      </c>
      <c r="G18" s="36">
        <f t="shared" si="1"/>
        <v>2378956842.2116065</v>
      </c>
    </row>
    <row r="20" spans="1:7">
      <c r="A20" s="37" t="s">
        <v>82</v>
      </c>
      <c r="B20" s="105" t="s">
        <v>157</v>
      </c>
    </row>
  </sheetData>
  <phoneticPr fontId="2" type="noConversion"/>
  <hyperlinks>
    <hyperlink ref="A20" location="_ftnref1" display="_ftnref1"/>
  </hyperlinks>
  <pageMargins left="0.70866141732283472" right="0.70866141732283472" top="0.74803149606299213" bottom="0.74803149606299213" header="0.31496062992125984" footer="0.31496062992125984"/>
  <pageSetup paperSize="9" scale="74"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6</vt:i4>
      </vt:variant>
    </vt:vector>
  </HeadingPairs>
  <TitlesOfParts>
    <vt:vector size="6" baseType="lpstr">
      <vt:lpstr>PF_POR FESR</vt:lpstr>
      <vt:lpstr>PF PO Cal</vt:lpstr>
      <vt:lpstr>PF_Azioni</vt:lpstr>
      <vt:lpstr>Tab. 17</vt:lpstr>
      <vt:lpstr>Tab. 18.a</vt:lpstr>
      <vt:lpstr>Tab. 18.c</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xy</cp:lastModifiedBy>
  <cp:lastPrinted>2015-08-04T15:56:25Z</cp:lastPrinted>
  <dcterms:created xsi:type="dcterms:W3CDTF">2014-09-03T14:19:17Z</dcterms:created>
  <dcterms:modified xsi:type="dcterms:W3CDTF">2015-08-07T15:55:57Z</dcterms:modified>
  <cp:category/>
</cp:coreProperties>
</file>